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a\Desktop\CONSULTORIA AMBIENTAL - CLIENTES\PREFEITURA VICTOR GRAEFF\IMPUGNACAO\RESPOSTA COMPLETA\"/>
    </mc:Choice>
  </mc:AlternateContent>
  <bookViews>
    <workbookView xWindow="0" yWindow="0" windowWidth="23040" windowHeight="9264" tabRatio="802"/>
  </bookViews>
  <sheets>
    <sheet name="1. Coleta Domiciliar Seletiva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  <sheet name="7. Dimensionamento" sheetId="9" r:id="rId7"/>
    <sheet name="8. Roteiros" sheetId="10" r:id="rId8"/>
    <sheet name="9. Ton Quantitativo" sheetId="12" r:id="rId9"/>
  </sheets>
  <externalReferences>
    <externalReference r:id="rId10"/>
  </externalReferences>
  <definedNames>
    <definedName name="AbaDeprec">'5. Depreciação'!$A$1</definedName>
    <definedName name="AbaRemun">'6.Remuneração de capital'!$A$1</definedName>
    <definedName name="_xlnm.Print_Area" localSheetId="0">'1. Coleta Domiciliar Seletiva'!$A$1:$F$244</definedName>
    <definedName name="_xlnm.Print_Area" localSheetId="1">'2.Encargos Sociais'!$A$1:$C$34</definedName>
    <definedName name="_xlnm.Print_Titles" localSheetId="0">'1. Coleta Domiciliar Seletiva'!$1:$1</definedName>
  </definedNames>
  <calcPr calcId="152511"/>
</workbook>
</file>

<file path=xl/calcChain.xml><?xml version="1.0" encoding="utf-8"?>
<calcChain xmlns="http://schemas.openxmlformats.org/spreadsheetml/2006/main">
  <c r="E65" i="2" l="1"/>
  <c r="D63" i="2" l="1"/>
  <c r="C75" i="2" l="1"/>
  <c r="F228" i="2" l="1"/>
  <c r="D168" i="2"/>
  <c r="B176" i="2"/>
  <c r="C12" i="12"/>
  <c r="B12" i="12"/>
  <c r="A12" i="12"/>
  <c r="C8" i="12"/>
  <c r="B8" i="12"/>
  <c r="A8" i="12"/>
  <c r="C123" i="2"/>
  <c r="C110" i="2"/>
  <c r="C87" i="2"/>
  <c r="C76" i="2"/>
  <c r="C36" i="8"/>
  <c r="C30" i="8"/>
  <c r="C21" i="8"/>
  <c r="C18" i="8"/>
  <c r="D26" i="10"/>
  <c r="D24" i="10"/>
  <c r="D23" i="10"/>
  <c r="D22" i="10"/>
  <c r="C23" i="10"/>
  <c r="C22" i="10"/>
  <c r="B23" i="10"/>
  <c r="B22" i="10"/>
  <c r="C9" i="10"/>
  <c r="C8" i="10"/>
  <c r="C29" i="5"/>
  <c r="C31" i="5" s="1"/>
  <c r="C27" i="5"/>
  <c r="A35" i="2"/>
  <c r="C26" i="8" l="1"/>
  <c r="C35" i="8" s="1"/>
  <c r="C37" i="8" s="1"/>
  <c r="C33" i="8"/>
  <c r="C32" i="5"/>
  <c r="C37" i="5"/>
  <c r="C30" i="5"/>
  <c r="C38" i="8" l="1"/>
  <c r="F88" i="2"/>
  <c r="E87" i="2"/>
  <c r="D81" i="2"/>
  <c r="C81" i="2"/>
  <c r="C82" i="2"/>
  <c r="C50" i="2" l="1"/>
  <c r="C65" i="2"/>
  <c r="E81" i="2"/>
  <c r="D180" i="2"/>
  <c r="E97" i="2"/>
  <c r="E98" i="2"/>
  <c r="E99" i="2"/>
  <c r="E100" i="2"/>
  <c r="E101" i="2"/>
  <c r="E102" i="2"/>
  <c r="E103" i="2"/>
  <c r="E104" i="2"/>
  <c r="E105" i="2"/>
  <c r="E106" i="2"/>
  <c r="C137" i="2" l="1"/>
  <c r="C21" i="9" l="1"/>
  <c r="C169" i="2" l="1"/>
  <c r="C168" i="2"/>
  <c r="C170" i="2"/>
  <c r="A24" i="2" l="1"/>
  <c r="A23" i="2"/>
  <c r="A22" i="2"/>
  <c r="A14" i="2"/>
  <c r="A13" i="2"/>
  <c r="A7" i="2"/>
  <c r="C14" i="9" l="1"/>
  <c r="C15" i="9" l="1"/>
  <c r="C17" i="9"/>
  <c r="C22" i="9" s="1"/>
  <c r="C24" i="9" s="1"/>
  <c r="C142" i="2"/>
  <c r="D144" i="2" s="1"/>
  <c r="C163" i="2" l="1"/>
  <c r="C157" i="2"/>
  <c r="D188" i="2"/>
  <c r="D186" i="2"/>
  <c r="D184" i="2"/>
  <c r="D182" i="2"/>
  <c r="D116" i="2" l="1"/>
  <c r="E116" i="2" s="1"/>
  <c r="E107" i="2"/>
  <c r="E108" i="2"/>
  <c r="D46" i="2" l="1"/>
  <c r="E46" i="2" s="1"/>
  <c r="D45" i="2"/>
  <c r="E45" i="2" s="1"/>
  <c r="D59" i="2"/>
  <c r="E59" i="2" s="1"/>
  <c r="D47" i="2" l="1"/>
  <c r="E47" i="2" s="1"/>
  <c r="D60" i="2"/>
  <c r="E60" i="2" s="1"/>
  <c r="D61" i="2" s="1"/>
  <c r="E61" i="2" s="1"/>
  <c r="C203" i="2" l="1"/>
  <c r="A21" i="2"/>
  <c r="A20" i="2"/>
  <c r="A19" i="2"/>
  <c r="A18" i="2"/>
  <c r="A17" i="2"/>
  <c r="A16" i="2"/>
  <c r="A15" i="2"/>
  <c r="A12" i="2"/>
  <c r="A11" i="2"/>
  <c r="A10" i="2"/>
  <c r="A9" i="2"/>
  <c r="A8" i="2"/>
  <c r="E172" i="2"/>
  <c r="E164" i="2"/>
  <c r="E147" i="2"/>
  <c r="E124" i="2"/>
  <c r="E111" i="2"/>
  <c r="E68" i="2"/>
  <c r="E53" i="2"/>
  <c r="D151" i="2"/>
  <c r="C15" i="4"/>
  <c r="C20" i="4" s="1"/>
  <c r="C237" i="2" s="1"/>
  <c r="F13" i="4"/>
  <c r="E13" i="4"/>
  <c r="D13" i="4"/>
  <c r="E57" i="2"/>
  <c r="D76" i="2" s="1"/>
  <c r="C201" i="2"/>
  <c r="E201" i="2" s="1"/>
  <c r="C180" i="2"/>
  <c r="C182" i="2" s="1"/>
  <c r="E182" i="2" s="1"/>
  <c r="D189" i="2"/>
  <c r="E134" i="2"/>
  <c r="D156" i="2"/>
  <c r="C143" i="2"/>
  <c r="C138" i="2"/>
  <c r="C224" i="2"/>
  <c r="C226" i="2" s="1"/>
  <c r="E226" i="2" s="1"/>
  <c r="D227" i="2" s="1"/>
  <c r="E227" i="2" s="1"/>
  <c r="C139" i="2"/>
  <c r="C156" i="2" s="1"/>
  <c r="A30" i="2"/>
  <c r="A31" i="2"/>
  <c r="E44" i="2"/>
  <c r="D75" i="2" s="1"/>
  <c r="A81" i="2"/>
  <c r="A82" i="2"/>
  <c r="A87" i="2" s="1"/>
  <c r="E109" i="2"/>
  <c r="D117" i="2"/>
  <c r="E117" i="2" s="1"/>
  <c r="D118" i="2"/>
  <c r="E118" i="2" s="1"/>
  <c r="D119" i="2"/>
  <c r="E119" i="2" s="1"/>
  <c r="D120" i="2"/>
  <c r="E120" i="2" s="1"/>
  <c r="D121" i="2"/>
  <c r="E121" i="2" s="1"/>
  <c r="E122" i="2"/>
  <c r="E199" i="2"/>
  <c r="E170" i="2"/>
  <c r="E169" i="2"/>
  <c r="E212" i="2"/>
  <c r="E215" i="2"/>
  <c r="E216" i="2"/>
  <c r="E213" i="2"/>
  <c r="E214" i="2"/>
  <c r="E63" i="2" l="1"/>
  <c r="D137" i="2"/>
  <c r="E137" i="2" s="1"/>
  <c r="D138" i="2" s="1"/>
  <c r="C186" i="2"/>
  <c r="E186" i="2" s="1"/>
  <c r="C188" i="2"/>
  <c r="E188" i="2" s="1"/>
  <c r="F217" i="2"/>
  <c r="F219" i="2" s="1"/>
  <c r="E22" i="2" s="1"/>
  <c r="E82" i="2"/>
  <c r="F83" i="2" s="1"/>
  <c r="E180" i="2"/>
  <c r="E139" i="2"/>
  <c r="C158" i="2" s="1"/>
  <c r="D110" i="2"/>
  <c r="E32" i="2"/>
  <c r="E75" i="2"/>
  <c r="E156" i="2"/>
  <c r="D48" i="2"/>
  <c r="E48" i="2" s="1"/>
  <c r="E49" i="2" s="1"/>
  <c r="D50" i="2" s="1"/>
  <c r="C184" i="2"/>
  <c r="E184" i="2" s="1"/>
  <c r="C194" i="2"/>
  <c r="E194" i="2" s="1"/>
  <c r="F195" i="2" s="1"/>
  <c r="E20" i="2" s="1"/>
  <c r="E224" i="2"/>
  <c r="D225" i="2" s="1"/>
  <c r="E225" i="2" s="1"/>
  <c r="F230" i="2" s="1"/>
  <c r="E23" i="2" s="1"/>
  <c r="E151" i="2"/>
  <c r="D202" i="2"/>
  <c r="E202" i="2" s="1"/>
  <c r="D203" i="2" s="1"/>
  <c r="E203" i="2" s="1"/>
  <c r="F204" i="2" s="1"/>
  <c r="E21" i="2" s="1"/>
  <c r="E76" i="2"/>
  <c r="D123" i="2"/>
  <c r="E64" i="2"/>
  <c r="E138" i="2" l="1"/>
  <c r="E168" i="2"/>
  <c r="D171" i="2" s="1"/>
  <c r="E171" i="2" s="1"/>
  <c r="F172" i="2" s="1"/>
  <c r="E18" i="2" s="1"/>
  <c r="C153" i="2"/>
  <c r="C154" i="2" s="1"/>
  <c r="D155" i="2" s="1"/>
  <c r="E155" i="2" s="1"/>
  <c r="E11" i="2"/>
  <c r="E12" i="2"/>
  <c r="E123" i="2"/>
  <c r="F124" i="2" s="1"/>
  <c r="E110" i="2"/>
  <c r="F111" i="2" s="1"/>
  <c r="D142" i="2"/>
  <c r="E142" i="2" s="1"/>
  <c r="D143" i="2" s="1"/>
  <c r="E143" i="2" s="1"/>
  <c r="F77" i="2"/>
  <c r="E10" i="2" s="1"/>
  <c r="F190" i="2"/>
  <c r="E19" i="2" s="1"/>
  <c r="D65" i="2"/>
  <c r="E144" i="2" l="1"/>
  <c r="E145" i="2"/>
  <c r="D146" i="2" s="1"/>
  <c r="E146" i="2" s="1"/>
  <c r="F147" i="2" s="1"/>
  <c r="E16" i="2" s="1"/>
  <c r="C159" i="2"/>
  <c r="D160" i="2" s="1"/>
  <c r="E160" i="2" s="1"/>
  <c r="E162" i="2" s="1"/>
  <c r="D163" i="2" s="1"/>
  <c r="E163" i="2" s="1"/>
  <c r="F164" i="2" s="1"/>
  <c r="F126" i="2"/>
  <c r="E13" i="2" s="1"/>
  <c r="E161" i="2" l="1"/>
  <c r="E17" i="2"/>
  <c r="E15" i="2" s="1"/>
  <c r="F207" i="2"/>
  <c r="E14" i="2" s="1"/>
  <c r="E50" i="2" l="1"/>
  <c r="E51" i="2" s="1"/>
  <c r="D52" i="2" s="1"/>
  <c r="E52" i="2" s="1"/>
  <c r="F53" i="2" s="1"/>
  <c r="E8" i="2" s="1"/>
  <c r="E66" i="2"/>
  <c r="D67" i="2" s="1"/>
  <c r="E67" i="2" s="1"/>
  <c r="F68" i="2" s="1"/>
  <c r="E9" i="2" l="1"/>
  <c r="F90" i="2"/>
  <c r="F232" i="2" s="1"/>
  <c r="E7" i="2" l="1"/>
  <c r="D237" i="2"/>
  <c r="E237" i="2" s="1"/>
  <c r="F238" i="2" s="1"/>
  <c r="F240" i="2" s="1"/>
  <c r="E24" i="2" s="1"/>
  <c r="E25" i="2" l="1"/>
  <c r="F7" i="2" s="1"/>
  <c r="F243" i="2"/>
  <c r="F23" i="2" l="1"/>
  <c r="F13" i="2"/>
  <c r="F8" i="2"/>
  <c r="F12" i="2"/>
  <c r="F14" i="2"/>
  <c r="F21" i="2"/>
  <c r="F20" i="2"/>
  <c r="F9" i="2"/>
  <c r="F15" i="2"/>
  <c r="F16" i="2"/>
  <c r="F17" i="2"/>
  <c r="F11" i="2"/>
  <c r="F18" i="2"/>
  <c r="F10" i="2"/>
  <c r="F22" i="2"/>
  <c r="F19" i="2"/>
  <c r="F24" i="2"/>
  <c r="F25" i="2" l="1"/>
</calcChain>
</file>

<file path=xl/comments1.xml><?xml version="1.0" encoding="utf-8"?>
<comments xmlns="http://schemas.openxmlformats.org/spreadsheetml/2006/main">
  <authors>
    <author>Clauber Bridi</author>
  </authors>
  <commentList>
    <comment ref="A5" authorId="0" shapeId="0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45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6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4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52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60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1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2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63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65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7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74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C9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9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4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5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6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0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C116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19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2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21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22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34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35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36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37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9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40" authorId="0" shapeId="0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41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42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6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52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9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70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176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179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179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181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181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183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183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185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185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187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187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194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199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199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00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01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02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212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3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4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5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16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1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21" authorId="0" shapeId="0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24" authorId="0" shape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 previsão no Projeto Básico</t>
        </r>
      </text>
    </comment>
    <comment ref="D226" authorId="0" shapeId="0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237" authorId="0" shapeId="0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comments3.xml><?xml version="1.0" encoding="utf-8"?>
<comments xmlns="http://schemas.openxmlformats.org/spreadsheetml/2006/main">
  <authors>
    <author>cbridi</author>
    <author>Clauber Bridi</author>
    <author>Omar</author>
  </authors>
  <commentList>
    <comment ref="C12" authorId="0" shapeId="0">
      <text>
        <r>
          <rPr>
            <sz val="8"/>
            <color indexed="81"/>
            <rFont val="Tahoma"/>
            <family val="2"/>
          </rPr>
          <t>Informar a população do município a ser atendida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>Caso o município possua informações de pesagem, ajustar com o valor da geração média per capita realizada nos últimos 12 meses</t>
        </r>
      </text>
    </comment>
    <comment ref="C14" authorId="2" shapeId="0">
      <text>
        <r>
          <rPr>
            <sz val="9"/>
            <color indexed="81"/>
            <rFont val="Tahoma"/>
            <family val="2"/>
          </rPr>
          <t>retorna a geração diária a ser recolhida</t>
        </r>
      </text>
    </comment>
    <comment ref="C16" authorId="0" shapeId="0">
      <text>
        <r>
          <rPr>
            <b/>
            <sz val="8"/>
            <color indexed="81"/>
            <rFont val="Tahoma"/>
            <charset val="1"/>
          </rPr>
          <t>Informe o número de dias de coleta por semana</t>
        </r>
      </text>
    </comment>
    <comment ref="C19" authorId="0" shapeId="0">
      <text>
        <r>
          <rPr>
            <sz val="8"/>
            <color indexed="81"/>
            <rFont val="Tahoma"/>
            <family val="2"/>
          </rPr>
          <t>Informar 1 para caminhão toco; Informar 2 para caminhão truck</t>
        </r>
        <r>
          <rPr>
            <b/>
            <sz val="8"/>
            <color indexed="81"/>
            <rFont val="Tahoma"/>
            <family val="2"/>
          </rPr>
          <t xml:space="preserve"> 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>Informar a capacidade do compactador em m³</t>
        </r>
      </text>
    </comment>
    <comment ref="C23" authorId="1" shapeId="0">
      <text>
        <r>
          <rPr>
            <sz val="8"/>
            <color indexed="81"/>
            <rFont val="Tahoma"/>
            <family val="2"/>
          </rPr>
          <t xml:space="preserve">Informar o número de percursos de coleta (cargas) que cada caminhão realiza por dia, considerando todos os turnos de trabalho. </t>
        </r>
      </text>
    </comment>
  </commentList>
</comments>
</file>

<file path=xl/sharedStrings.xml><?xml version="1.0" encoding="utf-8"?>
<sst xmlns="http://schemas.openxmlformats.org/spreadsheetml/2006/main" count="567" uniqueCount="343">
  <si>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</si>
  <si>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</si>
  <si>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</si>
  <si>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</si>
  <si>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</si>
  <si>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</si>
  <si>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</si>
  <si>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</si>
  <si>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</si>
  <si>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</si>
  <si>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</si>
  <si>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</si>
  <si>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</si>
  <si>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</si>
  <si>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</si>
  <si>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</si>
  <si>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</si>
  <si>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</si>
  <si>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</si>
  <si>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</si>
  <si>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</si>
  <si>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</si>
  <si>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</si>
  <si>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</si>
  <si>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</si>
  <si>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</si>
  <si>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</si>
  <si>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Vassoura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</si>
  <si>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</si>
  <si>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</si>
  <si>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</si>
  <si>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</si>
  <si>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</si>
  <si>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</si>
  <si>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</si>
  <si>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</si>
  <si>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</si>
  <si>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</si>
  <si>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</si>
  <si>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</si>
  <si>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</si>
  <si>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</si>
  <si>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</si>
  <si>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</si>
  <si>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</si>
  <si>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</si>
  <si>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</si>
  <si>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</si>
  <si>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</si>
  <si>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</si>
  <si>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</si>
  <si>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</si>
  <si>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</si>
  <si>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</si>
  <si>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</si>
  <si>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</si>
  <si>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</si>
  <si>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</si>
  <si>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</si>
  <si>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</si>
  <si>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</si>
  <si>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</si>
  <si>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</si>
  <si>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</si>
  <si>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</si>
  <si>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</si>
  <si>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t>Jaqueta com reflexivo (NBR 15.292)</t>
  </si>
  <si>
    <t>Capa de chuva amarela com reflexivo</t>
  </si>
  <si>
    <t>Botina de segurança c/ palmilha aço</t>
  </si>
  <si>
    <t>Custo de recapagem</t>
  </si>
  <si>
    <t>Recipiente térmico para água (5L)</t>
  </si>
  <si>
    <t>Total por Coletor</t>
  </si>
  <si>
    <t>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</si>
  <si>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</si>
  <si>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</si>
  <si>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</si>
  <si>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</si>
  <si>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</si>
  <si>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</si>
  <si>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</si>
  <si>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</si>
  <si>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</si>
  <si>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</si>
  <si>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</si>
  <si>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</si>
  <si>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</si>
  <si>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</si>
  <si>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</si>
  <si>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</si>
  <si>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6. Benefícios e Despesas Indiretas - BDI</t>
  </si>
  <si>
    <t>Vale Transporte</t>
  </si>
  <si>
    <t>Dias Trabalhados por mês</t>
  </si>
  <si>
    <t>dia</t>
  </si>
  <si>
    <t>Custo Mensal com Mão-de-obra (R$/mês)</t>
  </si>
  <si>
    <t>Meia de algodão com cano alto</t>
  </si>
  <si>
    <t>Custo do jogo de pneus xxx/xx Rxx</t>
  </si>
  <si>
    <t>Quantitativos</t>
  </si>
  <si>
    <t>1.1. Coletor Turno Dia</t>
  </si>
  <si>
    <t>1.3. Motorista Turno do Dia</t>
  </si>
  <si>
    <t>1.5. Vale Transporte</t>
  </si>
  <si>
    <t>Vida útil do chassis</t>
  </si>
  <si>
    <t>anos</t>
  </si>
  <si>
    <t>Vida útil do compactador</t>
  </si>
  <si>
    <t>Depreciação do compactador</t>
  </si>
  <si>
    <t>Depreciação do chassis</t>
  </si>
  <si>
    <t>Custo de aquisição do compactador</t>
  </si>
  <si>
    <t>Custo de aquisição do chassis</t>
  </si>
  <si>
    <t>Depreciação mensal do compactador</t>
  </si>
  <si>
    <t>i = taxa de juros do mercado (sugere-se adotar a taxa SELIC)</t>
  </si>
  <si>
    <t>n = vida útil do bem em anos</t>
  </si>
  <si>
    <t>Custo do chassis</t>
  </si>
  <si>
    <t>Custo do compactador</t>
  </si>
  <si>
    <t>3.1.2. Remuneração do Capital</t>
  </si>
  <si>
    <t>Im = investimento médio</t>
  </si>
  <si>
    <t>Remuneração mensal de capital do compactador</t>
  </si>
  <si>
    <t>Investimento médio total do chassis</t>
  </si>
  <si>
    <t>Remuneração mensal de capital do chassis</t>
  </si>
  <si>
    <t>Investimento médio total do compactador</t>
  </si>
  <si>
    <t>Custo de manutenção dos caminhões</t>
  </si>
  <si>
    <t>Quilometragem mensal</t>
  </si>
  <si>
    <t>R$/km rodado</t>
  </si>
  <si>
    <t>Número de recapagens por pneu</t>
  </si>
  <si>
    <t>1.6. Vale-refeição (diário)</t>
  </si>
  <si>
    <t>1.7. Auxílio Alimentação (mensal)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</si>
  <si>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</si>
  <si>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</si>
  <si>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</si>
  <si>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</si>
  <si>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</si>
  <si>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</si>
  <si>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</si>
  <si>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</si>
  <si>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</si>
  <si>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</si>
  <si>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</si>
  <si>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</si>
  <si>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</si>
  <si>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Dias ano</t>
  </si>
  <si>
    <t>Estoque Médio</t>
  </si>
  <si>
    <t>Multa FGTS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</si>
  <si>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</si>
  <si>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</si>
  <si>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</si>
  <si>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</si>
  <si>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</si>
  <si>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</si>
  <si>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</si>
  <si>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</si>
  <si>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</si>
  <si>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</si>
  <si>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</si>
  <si>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</si>
  <si>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</si>
  <si>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</si>
  <si>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</si>
  <si>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</si>
  <si>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</si>
  <si>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</si>
  <si>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</si>
  <si>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</si>
  <si>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</si>
  <si>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</si>
  <si>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</si>
  <si>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</si>
  <si>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</si>
  <si>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</si>
  <si>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</si>
  <si>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</si>
  <si>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</si>
  <si>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</si>
  <si>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</si>
  <si>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</si>
  <si>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</si>
  <si>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</si>
  <si>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</si>
  <si>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</si>
  <si>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</si>
  <si>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</si>
  <si>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</si>
  <si>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</si>
  <si>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</si>
  <si>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</si>
  <si>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</si>
  <si>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</si>
  <si>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</si>
  <si>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</si>
  <si>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</si>
  <si>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</si>
  <si>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</si>
  <si>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</si>
  <si>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</si>
  <si>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</si>
  <si>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</si>
  <si>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</si>
  <si>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</si>
  <si>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</si>
  <si>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</si>
  <si>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</si>
  <si>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</si>
  <si>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</si>
  <si>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</si>
  <si>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</si>
  <si>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</si>
  <si>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</si>
  <si>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Rio Grande do Sul  - Coleta de Resíduos Não-Perigosos - CNAE 38114</t>
  </si>
  <si>
    <t>Idade do veículo (ano)</t>
  </si>
  <si>
    <t>Idade do veículo</t>
  </si>
  <si>
    <t>Idade do compactador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</si>
  <si>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</si>
  <si>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</si>
  <si>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</si>
  <si>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</si>
  <si>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</si>
  <si>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Excluir esta linha caso a contratação não tenha previsão de horas extras explícita no edital</t>
  </si>
  <si>
    <t>Descanso Semanal Remunerado (DSR) - hora extra</t>
  </si>
  <si>
    <t>C2</t>
  </si>
  <si>
    <t>B3</t>
  </si>
  <si>
    <t xml:space="preserve">1. Coleta de Resíduos Sólidos 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</si>
  <si>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</si>
  <si>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</si>
  <si>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</si>
  <si>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</si>
  <si>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</si>
  <si>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</si>
  <si>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</si>
  <si>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4. Composição do BDI - Benefícios e Despesas Indiretas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</si>
  <si>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</si>
  <si>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</si>
  <si>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</si>
  <si>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</si>
  <si>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</si>
  <si>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</si>
  <si>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</si>
  <si>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</si>
  <si>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</si>
  <si>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</si>
  <si>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</si>
  <si>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</si>
  <si>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</si>
  <si>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</si>
  <si>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</si>
  <si>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</si>
  <si>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</si>
  <si>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</si>
  <si>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Fórmula de cálculo da remuneração de capital:</t>
  </si>
  <si>
    <t>Excluir esta linha caso a contratação não tenha previsão de horas extras 100% explícita no edital</t>
  </si>
  <si>
    <t>Excluir esta linha caso a contratação não tenha previsão de horas extras 50% explícita no edital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</si>
  <si>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</si>
  <si>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</si>
  <si>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</si>
  <si>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</si>
  <si>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</si>
  <si>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</si>
  <si>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</si>
  <si>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</si>
  <si>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</si>
  <si>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</si>
  <si>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</si>
  <si>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</si>
  <si>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</si>
  <si>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</si>
  <si>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</si>
  <si>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</si>
  <si>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</si>
  <si>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</si>
  <si>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</si>
  <si>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</si>
  <si>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</si>
  <si>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</si>
  <si>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</si>
  <si>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</si>
  <si>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</si>
  <si>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</si>
  <si>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7. Dimensionamento da frota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</si>
  <si>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</si>
  <si>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</si>
  <si>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</si>
  <si>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</si>
  <si>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</si>
  <si>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</si>
  <si>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>Reincidência de FGTS sobre aviso prévio indenizado</t>
  </si>
  <si>
    <t>Piso da categoria (2)</t>
  </si>
  <si>
    <t>Salário mínimo nacional (1)</t>
  </si>
  <si>
    <t>O TCE/RS não se responsabiliza pelo uso incorreto desta planilha.</t>
  </si>
  <si>
    <t>% Demitidos s/ Justa Causa em relação ao Estoque Médio</t>
  </si>
  <si>
    <t>Taxa de Rotatividade</t>
  </si>
  <si>
    <t>Acordo</t>
  </si>
  <si>
    <t>Bermuda com refletivo</t>
  </si>
  <si>
    <t xml:space="preserve">Camiseta manga curta </t>
  </si>
  <si>
    <t xml:space="preserve">Camiseta manga longa </t>
  </si>
  <si>
    <t>-</t>
  </si>
  <si>
    <t>Frota Reserva 10%</t>
  </si>
  <si>
    <t>Prefeitura Municipal de Victor Graeff</t>
  </si>
  <si>
    <t>Para preencher esta planilha siga os passos 1 a 5:</t>
  </si>
  <si>
    <t xml:space="preserve">1. Acesse o Portal do CAGED no link http://bi.mte.gov.br/cagedestabelecimento/pages/consulta.xhtml </t>
  </si>
  <si>
    <t>2. Na Especificação da Consulta, selecione "Demonstrativo por período" e informe as competências relativas ao período Inicial e Final (últimos 12 meses)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</si>
  <si>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</si>
  <si>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</si>
  <si>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</si>
  <si>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6. Preencha as células em amarelo</t>
  </si>
  <si>
    <t>4. CAGED</t>
  </si>
  <si>
    <t>Estoque recuperado início do Período 01-03-2018</t>
  </si>
  <si>
    <t>Estoque recuperado final do Período 28-02-2019</t>
  </si>
  <si>
    <t>Variação Emprego Absoluta de 01-03-2018 a 28-02-2019</t>
  </si>
  <si>
    <t>DIA DA SEMANA</t>
  </si>
  <si>
    <t>ROTA DIARIA (KM)</t>
  </si>
  <si>
    <t>Segunda feira</t>
  </si>
  <si>
    <t>Terça feira</t>
  </si>
  <si>
    <t>Quarta feira</t>
  </si>
  <si>
    <t>Quinta feira</t>
  </si>
  <si>
    <t>Sexta feira</t>
  </si>
  <si>
    <t>Sábado</t>
  </si>
  <si>
    <t>DISTÂNCIA ATERRO  (KM)</t>
  </si>
  <si>
    <t>DISTÂNCIA                  TRIAGEM (KM)</t>
  </si>
  <si>
    <t>MAPEAMENTO DE ROTAS - COLETA SELETIVA</t>
  </si>
  <si>
    <t>ROTA</t>
  </si>
  <si>
    <t>DISTANCIA (METROS)</t>
  </si>
  <si>
    <t>Rota 01</t>
  </si>
  <si>
    <t>Rota 02</t>
  </si>
  <si>
    <t>Rota 03</t>
  </si>
  <si>
    <t>Rota 04</t>
  </si>
  <si>
    <t>ROTEIRO PARA DESTINAÇÃO FINAL - COLETA SELETIVA</t>
  </si>
  <si>
    <t>ROTEIRO DE DISTANCIA FINAL - COLETA SELETIVA</t>
  </si>
  <si>
    <t>DESTINO FINAL (KM)</t>
  </si>
  <si>
    <t>TOTAL (KM)</t>
  </si>
  <si>
    <t>Total KM semanal (seletivo)</t>
  </si>
  <si>
    <t>Total KM semanal (rejeitos)</t>
  </si>
  <si>
    <t>Total de KM percorrida na semana</t>
  </si>
  <si>
    <t>Total KM no mês</t>
  </si>
  <si>
    <t>SOMA DIA</t>
  </si>
  <si>
    <t xml:space="preserve">SOMA SEMANA </t>
  </si>
  <si>
    <t>SOMA MÊS</t>
  </si>
  <si>
    <t>Total de SEMANAS</t>
  </si>
  <si>
    <t xml:space="preserve">Composição dos Encargos Sociais </t>
  </si>
  <si>
    <t xml:space="preserve">Dados Geral de Coleta de Resíduos </t>
  </si>
  <si>
    <t>Diário (ton)</t>
  </si>
  <si>
    <t>Semanal (ton)</t>
  </si>
  <si>
    <t>Mensal (ton)</t>
  </si>
  <si>
    <t>Dados de Coleta de Rejeitos</t>
  </si>
  <si>
    <t>Dados de Coleta de Resíduos</t>
  </si>
  <si>
    <r>
      <t xml:space="preserve">Total </t>
    </r>
    <r>
      <rPr>
        <b/>
        <u/>
        <sz val="11"/>
        <rFont val="Arial"/>
        <family val="2"/>
      </rPr>
      <t>(R$)</t>
    </r>
  </si>
  <si>
    <r>
      <t>3.1. Veículo Coletor Compactador</t>
    </r>
    <r>
      <rPr>
        <sz val="11"/>
        <color indexed="10"/>
        <rFont val="Arial"/>
        <family val="2"/>
      </rPr>
      <t xml:space="preserve"> xx</t>
    </r>
    <r>
      <rPr>
        <sz val="11"/>
        <rFont val="Arial"/>
        <family val="2"/>
      </rPr>
      <t xml:space="preserve"> m³</t>
    </r>
  </si>
  <si>
    <r>
      <t xml:space="preserve">Custo jg. compl. + </t>
    </r>
    <r>
      <rPr>
        <sz val="11"/>
        <color indexed="10"/>
        <rFont val="Arial"/>
        <family val="2"/>
      </rPr>
      <t>X</t>
    </r>
    <r>
      <rPr>
        <sz val="11"/>
        <rFont val="Arial"/>
        <family val="2"/>
      </rPr>
      <t xml:space="preserve"> recap./ km rodado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</si>
</sst>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.000_-;\-* #,##0.000_-;_-* &quot;-&quot;??_-;_-@_-"/>
    <numFmt numFmtId="171" formatCode="_-* #,##0.00_-;\-* #,##0.00_-;_-* &quot;-&quot;?_-;_-@_-"/>
    <numFmt numFmtId="172" formatCode="_-* #,##0_-;\-* #,##0_-;_-* &quot;-&quot;?_-;_-@_-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charset val="1"/>
    </font>
    <font>
      <b/>
      <sz val="12"/>
      <color rgb="FFFF000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10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1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0" fontId="2" fillId="0" borderId="0" xfId="0" applyFont="1"/>
    <xf numFmtId="4" fontId="0" fillId="0" borderId="0" xfId="0" applyNumberForma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2" fillId="0" borderId="14" xfId="0" applyFont="1" applyBorder="1"/>
    <xf numFmtId="0" fontId="12" fillId="0" borderId="47" xfId="0" applyFont="1" applyBorder="1"/>
    <xf numFmtId="0" fontId="12" fillId="3" borderId="20" xfId="0" applyFont="1" applyFill="1" applyBorder="1"/>
    <xf numFmtId="0" fontId="12" fillId="0" borderId="23" xfId="0" applyFont="1" applyBorder="1"/>
    <xf numFmtId="0" fontId="12" fillId="0" borderId="48" xfId="0" applyFont="1" applyBorder="1"/>
    <xf numFmtId="0" fontId="12" fillId="0" borderId="20" xfId="0" applyFont="1" applyBorder="1"/>
    <xf numFmtId="0" fontId="12" fillId="0" borderId="28" xfId="0" applyFont="1" applyBorder="1"/>
    <xf numFmtId="2" fontId="13" fillId="7" borderId="1" xfId="0" applyNumberFormat="1" applyFont="1" applyFill="1" applyBorder="1" applyAlignment="1">
      <alignment horizontal="right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2" fontId="13" fillId="7" borderId="36" xfId="0" applyNumberFormat="1" applyFont="1" applyFill="1" applyBorder="1" applyAlignment="1">
      <alignment horizontal="right" vertical="center"/>
    </xf>
    <xf numFmtId="0" fontId="13" fillId="0" borderId="23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10" fontId="13" fillId="0" borderId="20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/>
    </xf>
    <xf numFmtId="10" fontId="17" fillId="0" borderId="20" xfId="0" applyNumberFormat="1" applyFont="1" applyBorder="1" applyAlignment="1">
      <alignment horizontal="right" vertical="center"/>
    </xf>
    <xf numFmtId="0" fontId="13" fillId="5" borderId="23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10" fontId="17" fillId="5" borderId="20" xfId="0" applyNumberFormat="1" applyFont="1" applyFill="1" applyBorder="1" applyAlignment="1">
      <alignment horizontal="right" vertical="center"/>
    </xf>
    <xf numFmtId="0" fontId="18" fillId="0" borderId="1" xfId="0" applyFont="1" applyBorder="1" applyAlignment="1">
      <alignment horizontal="left" vertical="center"/>
    </xf>
    <xf numFmtId="9" fontId="13" fillId="0" borderId="0" xfId="2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0" fontId="13" fillId="9" borderId="24" xfId="0" applyFont="1" applyFill="1" applyBorder="1" applyAlignment="1">
      <alignment horizontal="left" vertical="center"/>
    </xf>
    <xf numFmtId="0" fontId="17" fillId="9" borderId="36" xfId="0" applyFont="1" applyFill="1" applyBorder="1" applyAlignment="1">
      <alignment horizontal="left" vertical="center"/>
    </xf>
    <xf numFmtId="10" fontId="17" fillId="9" borderId="37" xfId="0" applyNumberFormat="1" applyFont="1" applyFill="1" applyBorder="1" applyAlignment="1">
      <alignment horizontal="right" vertical="center"/>
    </xf>
    <xf numFmtId="0" fontId="4" fillId="0" borderId="15" xfId="0" applyFont="1" applyBorder="1"/>
    <xf numFmtId="0" fontId="4" fillId="0" borderId="23" xfId="0" applyFont="1" applyBorder="1"/>
    <xf numFmtId="0" fontId="4" fillId="3" borderId="20" xfId="0" applyFont="1" applyFill="1" applyBorder="1"/>
    <xf numFmtId="0" fontId="4" fillId="0" borderId="47" xfId="0" applyFont="1" applyBorder="1"/>
    <xf numFmtId="0" fontId="4" fillId="3" borderId="48" xfId="0" applyFont="1" applyFill="1" applyBorder="1"/>
    <xf numFmtId="0" fontId="4" fillId="0" borderId="49" xfId="0" applyFont="1" applyBorder="1"/>
    <xf numFmtId="0" fontId="4" fillId="3" borderId="50" xfId="0" applyFont="1" applyFill="1" applyBorder="1"/>
    <xf numFmtId="0" fontId="4" fillId="0" borderId="38" xfId="0" applyFont="1" applyBorder="1"/>
    <xf numFmtId="0" fontId="4" fillId="0" borderId="39" xfId="0" applyFont="1" applyBorder="1"/>
    <xf numFmtId="0" fontId="6" fillId="0" borderId="48" xfId="0" applyFont="1" applyBorder="1"/>
    <xf numFmtId="0" fontId="6" fillId="0" borderId="38" xfId="0" applyFont="1" applyFill="1" applyBorder="1" applyAlignment="1">
      <alignment horizontal="left" vertical="center"/>
    </xf>
    <xf numFmtId="0" fontId="4" fillId="0" borderId="0" xfId="0" applyFont="1" applyBorder="1"/>
    <xf numFmtId="9" fontId="4" fillId="0" borderId="23" xfId="2" applyFont="1" applyBorder="1"/>
    <xf numFmtId="9" fontId="4" fillId="0" borderId="1" xfId="2" applyFont="1" applyBorder="1" applyAlignment="1">
      <alignment horizontal="center"/>
    </xf>
    <xf numFmtId="9" fontId="4" fillId="0" borderId="20" xfId="2" applyFont="1" applyBorder="1"/>
    <xf numFmtId="0" fontId="4" fillId="0" borderId="21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/>
    </xf>
    <xf numFmtId="10" fontId="4" fillId="3" borderId="12" xfId="0" applyNumberFormat="1" applyFont="1" applyFill="1" applyBorder="1" applyAlignment="1">
      <alignment horizontal="center" vertical="center"/>
    </xf>
    <xf numFmtId="10" fontId="4" fillId="0" borderId="20" xfId="2" applyNumberFormat="1" applyFont="1" applyBorder="1"/>
    <xf numFmtId="0" fontId="4" fillId="0" borderId="23" xfId="0" applyFont="1" applyFill="1" applyBorder="1" applyAlignment="1">
      <alignment horizontal="left" vertical="center"/>
    </xf>
    <xf numFmtId="10" fontId="4" fillId="3" borderId="20" xfId="0" applyNumberFormat="1" applyFont="1" applyFill="1" applyBorder="1" applyAlignment="1">
      <alignment horizontal="center" vertical="center"/>
    </xf>
    <xf numFmtId="10" fontId="4" fillId="0" borderId="20" xfId="0" applyNumberFormat="1" applyFont="1" applyFill="1" applyBorder="1" applyAlignment="1">
      <alignment horizontal="center" vertical="center"/>
    </xf>
    <xf numFmtId="10" fontId="4" fillId="3" borderId="1" xfId="2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20" xfId="0" applyFont="1" applyBorder="1"/>
    <xf numFmtId="0" fontId="4" fillId="0" borderId="24" xfId="0" applyFont="1" applyFill="1" applyBorder="1" applyAlignment="1">
      <alignment horizontal="left" vertical="center"/>
    </xf>
    <xf numFmtId="10" fontId="4" fillId="3" borderId="3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10" fontId="4" fillId="0" borderId="27" xfId="0" applyNumberFormat="1" applyFont="1" applyFill="1" applyBorder="1" applyAlignment="1">
      <alignment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/>
    </xf>
    <xf numFmtId="10" fontId="6" fillId="5" borderId="7" xfId="0" applyNumberFormat="1" applyFont="1" applyFill="1" applyBorder="1" applyAlignment="1">
      <alignment horizontal="center" vertical="center" wrapText="1"/>
    </xf>
    <xf numFmtId="10" fontId="4" fillId="0" borderId="23" xfId="2" applyNumberFormat="1" applyFont="1" applyBorder="1" applyAlignment="1">
      <alignment horizontal="right"/>
    </xf>
    <xf numFmtId="10" fontId="4" fillId="0" borderId="1" xfId="2" applyNumberFormat="1" applyFont="1" applyBorder="1" applyAlignment="1">
      <alignment horizontal="right"/>
    </xf>
    <xf numFmtId="10" fontId="4" fillId="0" borderId="20" xfId="2" applyNumberFormat="1" applyFont="1" applyBorder="1" applyAlignment="1">
      <alignment horizontal="right"/>
    </xf>
    <xf numFmtId="10" fontId="4" fillId="0" borderId="24" xfId="2" applyNumberFormat="1" applyFont="1" applyBorder="1" applyAlignment="1">
      <alignment horizontal="right"/>
    </xf>
    <xf numFmtId="10" fontId="4" fillId="0" borderId="36" xfId="2" applyNumberFormat="1" applyFont="1" applyBorder="1" applyAlignment="1">
      <alignment horizontal="right"/>
    </xf>
    <xf numFmtId="10" fontId="4" fillId="0" borderId="37" xfId="2" applyNumberFormat="1" applyFont="1" applyBorder="1" applyAlignment="1">
      <alignment horizontal="right"/>
    </xf>
    <xf numFmtId="0" fontId="5" fillId="0" borderId="52" xfId="0" applyFont="1" applyBorder="1"/>
    <xf numFmtId="0" fontId="14" fillId="0" borderId="52" xfId="0" applyFont="1" applyBorder="1" applyAlignment="1">
      <alignment horizontal="justify"/>
    </xf>
    <xf numFmtId="0" fontId="14" fillId="0" borderId="53" xfId="0" applyFont="1" applyBorder="1" applyAlignment="1">
      <alignment horizontal="justify"/>
    </xf>
    <xf numFmtId="0" fontId="11" fillId="10" borderId="51" xfId="0" applyFont="1" applyFill="1" applyBorder="1" applyAlignment="1">
      <alignment horizontal="center"/>
    </xf>
    <xf numFmtId="0" fontId="17" fillId="0" borderId="23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" fillId="0" borderId="0" xfId="0" applyFont="1"/>
    <xf numFmtId="4" fontId="1" fillId="0" borderId="0" xfId="0" applyNumberFormat="1" applyFont="1" applyBorder="1" applyAlignment="1">
      <alignment vertical="center"/>
    </xf>
    <xf numFmtId="0" fontId="1" fillId="0" borderId="0" xfId="0" applyFont="1" applyFill="1"/>
    <xf numFmtId="0" fontId="6" fillId="0" borderId="23" xfId="0" applyFont="1" applyBorder="1"/>
    <xf numFmtId="0" fontId="6" fillId="0" borderId="1" xfId="0" applyFont="1" applyBorder="1"/>
    <xf numFmtId="0" fontId="6" fillId="0" borderId="20" xfId="0" applyFont="1" applyBorder="1"/>
    <xf numFmtId="0" fontId="4" fillId="0" borderId="23" xfId="0" applyFont="1" applyFill="1" applyBorder="1"/>
    <xf numFmtId="0" fontId="4" fillId="0" borderId="1" xfId="0" applyFont="1" applyFill="1" applyBorder="1"/>
    <xf numFmtId="0" fontId="4" fillId="0" borderId="1" xfId="0" applyFont="1" applyBorder="1"/>
    <xf numFmtId="170" fontId="18" fillId="0" borderId="20" xfId="3" applyNumberFormat="1" applyFont="1" applyBorder="1" applyAlignment="1">
      <alignment horizontal="center" vertical="center" wrapText="1"/>
    </xf>
    <xf numFmtId="171" fontId="4" fillId="0" borderId="20" xfId="0" applyNumberFormat="1" applyFont="1" applyBorder="1"/>
    <xf numFmtId="2" fontId="4" fillId="0" borderId="20" xfId="0" applyNumberFormat="1" applyFont="1" applyBorder="1"/>
    <xf numFmtId="0" fontId="4" fillId="0" borderId="24" xfId="0" applyFont="1" applyFill="1" applyBorder="1"/>
    <xf numFmtId="0" fontId="4" fillId="0" borderId="36" xfId="0" applyFont="1" applyBorder="1"/>
    <xf numFmtId="171" fontId="4" fillId="3" borderId="20" xfId="0" applyNumberFormat="1" applyFont="1" applyFill="1" applyBorder="1"/>
    <xf numFmtId="171" fontId="4" fillId="0" borderId="37" xfId="0" applyNumberFormat="1" applyFont="1" applyBorder="1"/>
    <xf numFmtId="0" fontId="11" fillId="0" borderId="1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172" fontId="4" fillId="3" borderId="20" xfId="0" applyNumberFormat="1" applyFont="1" applyFill="1" applyBorder="1"/>
    <xf numFmtId="0" fontId="4" fillId="0" borderId="23" xfId="0" applyFont="1" applyBorder="1" applyAlignment="1">
      <alignment horizontal="right"/>
    </xf>
    <xf numFmtId="4" fontId="22" fillId="0" borderId="0" xfId="0" applyNumberFormat="1" applyFont="1" applyBorder="1" applyAlignment="1">
      <alignment vertical="center"/>
    </xf>
    <xf numFmtId="169" fontId="6" fillId="0" borderId="20" xfId="0" applyNumberFormat="1" applyFont="1" applyBorder="1"/>
    <xf numFmtId="9" fontId="12" fillId="0" borderId="20" xfId="2" applyFont="1" applyBorder="1"/>
    <xf numFmtId="10" fontId="12" fillId="0" borderId="20" xfId="2" applyNumberFormat="1" applyFont="1" applyBorder="1"/>
    <xf numFmtId="9" fontId="6" fillId="0" borderId="31" xfId="2" applyFont="1" applyBorder="1"/>
    <xf numFmtId="0" fontId="4" fillId="0" borderId="55" xfId="0" applyFont="1" applyBorder="1"/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10" fontId="13" fillId="0" borderId="0" xfId="0" applyNumberFormat="1" applyFont="1" applyAlignment="1">
      <alignment horizontal="right" vertical="center"/>
    </xf>
    <xf numFmtId="0" fontId="13" fillId="4" borderId="0" xfId="0" applyFont="1" applyFill="1" applyAlignment="1">
      <alignment horizontal="left" vertical="center"/>
    </xf>
    <xf numFmtId="0" fontId="13" fillId="0" borderId="0" xfId="0" applyFont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5" fontId="4" fillId="0" borderId="0" xfId="3" applyFont="1" applyFill="1" applyBorder="1" applyAlignment="1">
      <alignment vertical="center"/>
    </xf>
    <xf numFmtId="165" fontId="4" fillId="0" borderId="39" xfId="3" applyFont="1" applyFill="1" applyBorder="1" applyAlignment="1">
      <alignment vertical="center"/>
    </xf>
    <xf numFmtId="165" fontId="6" fillId="0" borderId="19" xfId="3" applyFont="1" applyBorder="1" applyAlignment="1">
      <alignment horizontal="center" vertical="center"/>
    </xf>
    <xf numFmtId="165" fontId="4" fillId="0" borderId="11" xfId="3" applyFont="1" applyBorder="1" applyAlignment="1">
      <alignment vertical="center"/>
    </xf>
    <xf numFmtId="165" fontId="6" fillId="0" borderId="11" xfId="3" applyFont="1" applyBorder="1" applyAlignment="1">
      <alignment vertical="center"/>
    </xf>
    <xf numFmtId="165" fontId="6" fillId="0" borderId="35" xfId="3" applyFont="1" applyBorder="1" applyAlignment="1">
      <alignment vertical="center"/>
    </xf>
    <xf numFmtId="165" fontId="6" fillId="0" borderId="12" xfId="3" applyFont="1" applyBorder="1" applyAlignment="1">
      <alignment horizontal="center" vertical="center"/>
    </xf>
    <xf numFmtId="165" fontId="6" fillId="0" borderId="14" xfId="3" applyFont="1" applyBorder="1" applyAlignment="1">
      <alignment vertical="center"/>
    </xf>
    <xf numFmtId="165" fontId="6" fillId="0" borderId="9" xfId="0" applyNumberFormat="1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168" fontId="6" fillId="0" borderId="1" xfId="0" applyNumberFormat="1" applyFont="1" applyBorder="1" applyAlignment="1">
      <alignment vertical="center"/>
    </xf>
    <xf numFmtId="10" fontId="6" fillId="0" borderId="15" xfId="2" applyNumberFormat="1" applyFont="1" applyBorder="1" applyAlignment="1">
      <alignment vertical="center"/>
    </xf>
    <xf numFmtId="165" fontId="6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165" fontId="4" fillId="0" borderId="14" xfId="3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165" fontId="4" fillId="0" borderId="9" xfId="3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0" fontId="4" fillId="0" borderId="15" xfId="2" applyNumberFormat="1" applyFont="1" applyBorder="1" applyAlignment="1">
      <alignment vertical="center"/>
    </xf>
    <xf numFmtId="165" fontId="6" fillId="0" borderId="14" xfId="3" applyFont="1" applyBorder="1" applyAlignment="1">
      <alignment horizontal="left" vertical="center"/>
    </xf>
    <xf numFmtId="4" fontId="6" fillId="0" borderId="9" xfId="0" applyNumberFormat="1" applyFont="1" applyBorder="1" applyAlignment="1">
      <alignment horizontal="centerContinuous" vertical="center"/>
    </xf>
    <xf numFmtId="165" fontId="4" fillId="0" borderId="14" xfId="3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centerContinuous" vertical="center"/>
    </xf>
    <xf numFmtId="168" fontId="6" fillId="0" borderId="36" xfId="0" applyNumberFormat="1" applyFont="1" applyBorder="1" applyAlignment="1">
      <alignment vertical="center"/>
    </xf>
    <xf numFmtId="165" fontId="6" fillId="0" borderId="5" xfId="3" applyFont="1" applyBorder="1" applyAlignment="1">
      <alignment horizontal="left" vertical="center"/>
    </xf>
    <xf numFmtId="4" fontId="6" fillId="0" borderId="6" xfId="0" applyNumberFormat="1" applyFont="1" applyBorder="1" applyAlignment="1">
      <alignment horizontal="centerContinuous" vertical="center"/>
    </xf>
    <xf numFmtId="165" fontId="6" fillId="0" borderId="6" xfId="3" applyFont="1" applyBorder="1" applyAlignment="1">
      <alignment vertical="center"/>
    </xf>
    <xf numFmtId="164" fontId="6" fillId="0" borderId="34" xfId="0" applyNumberFormat="1" applyFont="1" applyBorder="1" applyAlignment="1">
      <alignment vertical="center"/>
    </xf>
    <xf numFmtId="9" fontId="6" fillId="0" borderId="18" xfId="2" applyFont="1" applyBorder="1" applyAlignment="1">
      <alignment vertical="center"/>
    </xf>
    <xf numFmtId="165" fontId="6" fillId="0" borderId="13" xfId="3" applyFont="1" applyBorder="1" applyAlignment="1">
      <alignment horizontal="right" vertical="center"/>
    </xf>
    <xf numFmtId="165" fontId="4" fillId="0" borderId="19" xfId="3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" fontId="4" fillId="0" borderId="12" xfId="3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1" fontId="4" fillId="0" borderId="20" xfId="3" applyNumberFormat="1" applyFont="1" applyBorder="1" applyAlignment="1">
      <alignment horizontal="center" vertical="center"/>
    </xf>
    <xf numFmtId="165" fontId="6" fillId="0" borderId="28" xfId="3" applyFont="1" applyBorder="1" applyAlignment="1">
      <alignment vertical="center"/>
    </xf>
    <xf numFmtId="4" fontId="6" fillId="0" borderId="29" xfId="0" applyNumberFormat="1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1" fontId="6" fillId="0" borderId="31" xfId="3" applyNumberFormat="1" applyFont="1" applyBorder="1" applyAlignment="1">
      <alignment horizontal="center" vertical="center"/>
    </xf>
    <xf numFmtId="165" fontId="6" fillId="0" borderId="38" xfId="3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65" fontId="4" fillId="0" borderId="39" xfId="3" applyFont="1" applyBorder="1" applyAlignment="1">
      <alignment vertical="center"/>
    </xf>
    <xf numFmtId="165" fontId="4" fillId="0" borderId="40" xfId="3" applyFont="1" applyBorder="1" applyAlignment="1">
      <alignment vertical="center"/>
    </xf>
    <xf numFmtId="165" fontId="4" fillId="0" borderId="41" xfId="3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1" fontId="4" fillId="0" borderId="37" xfId="3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" fontId="4" fillId="0" borderId="0" xfId="3" applyNumberFormat="1" applyFont="1" applyBorder="1" applyAlignment="1">
      <alignment horizontal="center" vertical="center"/>
    </xf>
    <xf numFmtId="166" fontId="4" fillId="0" borderId="0" xfId="3" applyNumberFormat="1" applyFont="1" applyBorder="1" applyAlignment="1">
      <alignment horizontal="center" vertical="center"/>
    </xf>
    <xf numFmtId="165" fontId="6" fillId="0" borderId="5" xfId="3" applyFont="1" applyBorder="1" applyAlignment="1">
      <alignment vertical="center"/>
    </xf>
    <xf numFmtId="9" fontId="6" fillId="3" borderId="7" xfId="2" applyFont="1" applyFill="1" applyBorder="1" applyAlignment="1">
      <alignment vertical="center"/>
    </xf>
    <xf numFmtId="165" fontId="6" fillId="0" borderId="0" xfId="3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6" fontId="6" fillId="0" borderId="0" xfId="3" applyNumberFormat="1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65" fontId="6" fillId="2" borderId="17" xfId="3" applyFont="1" applyFill="1" applyBorder="1" applyAlignment="1">
      <alignment horizontal="center" vertical="center"/>
    </xf>
    <xf numFmtId="165" fontId="6" fillId="2" borderId="18" xfId="3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" fontId="6" fillId="3" borderId="0" xfId="0" applyNumberFormat="1" applyFont="1" applyFill="1"/>
    <xf numFmtId="165" fontId="4" fillId="0" borderId="2" xfId="3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165" fontId="4" fillId="0" borderId="1" xfId="3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6" fillId="0" borderId="3" xfId="3" applyFont="1" applyBorder="1" applyAlignment="1">
      <alignment horizontal="center" vertical="center"/>
    </xf>
    <xf numFmtId="165" fontId="4" fillId="6" borderId="1" xfId="3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4" fillId="0" borderId="0" xfId="3" applyFont="1" applyAlignment="1">
      <alignment horizontal="right" vertical="center"/>
    </xf>
    <xf numFmtId="165" fontId="4" fillId="0" borderId="1" xfId="3" applyFont="1" applyBorder="1" applyAlignment="1">
      <alignment vertical="center"/>
    </xf>
    <xf numFmtId="165" fontId="6" fillId="2" borderId="7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5" fontId="6" fillId="0" borderId="1" xfId="3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5" fontId="6" fillId="0" borderId="9" xfId="3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66" fontId="4" fillId="0" borderId="1" xfId="3" applyNumberFormat="1" applyFont="1" applyBorder="1" applyAlignment="1">
      <alignment horizontal="center" vertical="center"/>
    </xf>
    <xf numFmtId="165" fontId="4" fillId="3" borderId="0" xfId="3" applyFont="1" applyFill="1" applyAlignment="1">
      <alignment vertical="center"/>
    </xf>
    <xf numFmtId="165" fontId="6" fillId="2" borderId="4" xfId="3" applyFont="1" applyFill="1" applyBorder="1" applyAlignment="1">
      <alignment vertical="center"/>
    </xf>
    <xf numFmtId="165" fontId="6" fillId="0" borderId="0" xfId="3" applyFont="1" applyFill="1" applyBorder="1" applyAlignment="1">
      <alignment vertical="center"/>
    </xf>
    <xf numFmtId="166" fontId="4" fillId="0" borderId="1" xfId="3" applyNumberFormat="1" applyFont="1" applyFill="1" applyBorder="1" applyAlignment="1">
      <alignment vertical="center"/>
    </xf>
    <xf numFmtId="165" fontId="4" fillId="3" borderId="1" xfId="3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13" fontId="4" fillId="3" borderId="1" xfId="0" applyNumberFormat="1" applyFont="1" applyFill="1" applyBorder="1" applyAlignment="1">
      <alignment horizontal="center" vertical="center"/>
    </xf>
    <xf numFmtId="165" fontId="4" fillId="3" borderId="2" xfId="3" applyFont="1" applyFill="1" applyBorder="1" applyAlignment="1">
      <alignment horizontal="center" vertical="center"/>
    </xf>
    <xf numFmtId="165" fontId="4" fillId="0" borderId="0" xfId="3" applyFont="1"/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65" fontId="4" fillId="0" borderId="6" xfId="3" applyFont="1" applyBorder="1" applyAlignment="1">
      <alignment vertical="center"/>
    </xf>
    <xf numFmtId="165" fontId="4" fillId="0" borderId="7" xfId="3" applyFont="1" applyBorder="1" applyAlignment="1">
      <alignment vertical="center"/>
    </xf>
    <xf numFmtId="165" fontId="6" fillId="2" borderId="4" xfId="3" applyFont="1" applyFill="1" applyBorder="1" applyAlignment="1">
      <alignment horizontal="center" vertical="center"/>
    </xf>
    <xf numFmtId="0" fontId="24" fillId="0" borderId="0" xfId="1" applyFont="1" applyAlignment="1" applyProtection="1">
      <alignment vertical="center"/>
    </xf>
    <xf numFmtId="0" fontId="4" fillId="0" borderId="2" xfId="0" applyFont="1" applyFill="1" applyBorder="1" applyAlignment="1">
      <alignment horizontal="center" vertical="center"/>
    </xf>
    <xf numFmtId="165" fontId="4" fillId="0" borderId="0" xfId="3" applyFont="1" applyAlignment="1">
      <alignment horizontal="center" vertical="center"/>
    </xf>
    <xf numFmtId="43" fontId="4" fillId="0" borderId="0" xfId="0" applyNumberFormat="1" applyFont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54" xfId="0" applyFont="1" applyBorder="1" applyAlignment="1">
      <alignment horizontal="center" vertical="center"/>
    </xf>
    <xf numFmtId="165" fontId="6" fillId="0" borderId="54" xfId="3" applyFont="1" applyBorder="1" applyAlignment="1">
      <alignment horizontal="center" vertical="center"/>
    </xf>
    <xf numFmtId="165" fontId="4" fillId="6" borderId="1" xfId="3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165" fontId="6" fillId="2" borderId="33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6" fillId="0" borderId="54" xfId="3" applyFont="1" applyFill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165" fontId="6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3" borderId="1" xfId="3" applyFont="1" applyFill="1" applyBorder="1" applyAlignment="1">
      <alignment horizontal="center" vertical="center"/>
    </xf>
    <xf numFmtId="165" fontId="6" fillId="0" borderId="0" xfId="3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center" vertical="center"/>
    </xf>
    <xf numFmtId="167" fontId="4" fillId="3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165" fontId="4" fillId="0" borderId="0" xfId="3" applyFont="1" applyFill="1" applyAlignment="1">
      <alignment vertical="center"/>
    </xf>
    <xf numFmtId="167" fontId="4" fillId="0" borderId="1" xfId="3" applyNumberFormat="1" applyFont="1" applyBorder="1" applyAlignment="1">
      <alignment horizontal="center" vertical="center"/>
    </xf>
    <xf numFmtId="166" fontId="6" fillId="0" borderId="1" xfId="3" applyNumberFormat="1" applyFont="1" applyBorder="1" applyAlignment="1">
      <alignment horizontal="center" vertical="center"/>
    </xf>
    <xf numFmtId="167" fontId="6" fillId="0" borderId="1" xfId="3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5" fontId="4" fillId="0" borderId="2" xfId="3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165" fontId="4" fillId="0" borderId="0" xfId="3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5" fontId="26" fillId="0" borderId="1" xfId="3" applyFont="1" applyBorder="1" applyAlignment="1">
      <alignment horizontal="center" vertical="center"/>
    </xf>
    <xf numFmtId="165" fontId="6" fillId="2" borderId="4" xfId="3" applyNumberFormat="1" applyFont="1" applyFill="1" applyBorder="1" applyAlignment="1">
      <alignment horizontal="center" vertical="center"/>
    </xf>
    <xf numFmtId="165" fontId="25" fillId="0" borderId="0" xfId="3" applyFont="1" applyAlignment="1">
      <alignment vertical="center"/>
    </xf>
    <xf numFmtId="0" fontId="2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10" fontId="4" fillId="0" borderId="0" xfId="0" applyNumberFormat="1" applyFont="1"/>
    <xf numFmtId="0" fontId="18" fillId="0" borderId="0" xfId="0" applyFont="1" applyAlignment="1">
      <alignment horizontal="justify" vertical="center"/>
    </xf>
    <xf numFmtId="0" fontId="24" fillId="0" borderId="0" xfId="1" applyFont="1" applyBorder="1" applyAlignment="1" applyProtection="1">
      <alignment horizontal="left" vertical="center"/>
    </xf>
    <xf numFmtId="0" fontId="18" fillId="0" borderId="0" xfId="0" applyFont="1"/>
    <xf numFmtId="0" fontId="24" fillId="0" borderId="0" xfId="1" applyFont="1" applyBorder="1" applyAlignment="1" applyProtection="1">
      <alignment vertical="center"/>
    </xf>
    <xf numFmtId="0" fontId="6" fillId="0" borderId="0" xfId="0" applyFont="1"/>
    <xf numFmtId="0" fontId="27" fillId="0" borderId="0" xfId="0" applyFont="1"/>
    <xf numFmtId="4" fontId="4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/>
    <xf numFmtId="10" fontId="13" fillId="4" borderId="20" xfId="0" applyNumberFormat="1" applyFont="1" applyFill="1" applyBorder="1" applyAlignment="1">
      <alignment horizontal="right" vertical="center"/>
    </xf>
    <xf numFmtId="10" fontId="17" fillId="4" borderId="20" xfId="0" applyNumberFormat="1" applyFont="1" applyFill="1" applyBorder="1" applyAlignment="1">
      <alignment horizontal="right" vertical="center"/>
    </xf>
    <xf numFmtId="165" fontId="4" fillId="4" borderId="1" xfId="3" applyFont="1" applyFill="1" applyBorder="1" applyAlignment="1">
      <alignment horizontal="center" vertical="center"/>
    </xf>
    <xf numFmtId="10" fontId="4" fillId="4" borderId="1" xfId="3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/>
    </xf>
    <xf numFmtId="166" fontId="4" fillId="4" borderId="1" xfId="3" applyNumberFormat="1" applyFont="1" applyFill="1" applyBorder="1" applyAlignment="1">
      <alignment vertical="center"/>
    </xf>
    <xf numFmtId="0" fontId="6" fillId="0" borderId="29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165" fontId="6" fillId="0" borderId="14" xfId="3" applyFont="1" applyBorder="1" applyAlignment="1">
      <alignment horizontal="left" vertical="center"/>
    </xf>
    <xf numFmtId="165" fontId="6" fillId="0" borderId="9" xfId="3" applyFont="1" applyBorder="1" applyAlignment="1">
      <alignment horizontal="left" vertical="center"/>
    </xf>
    <xf numFmtId="0" fontId="6" fillId="8" borderId="25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6" fillId="8" borderId="44" xfId="0" applyFont="1" applyFill="1" applyBorder="1" applyAlignment="1">
      <alignment horizontal="center" vertical="center"/>
    </xf>
    <xf numFmtId="0" fontId="6" fillId="8" borderId="42" xfId="0" applyFont="1" applyFill="1" applyBorder="1" applyAlignment="1">
      <alignment horizontal="center" vertical="center"/>
    </xf>
    <xf numFmtId="0" fontId="6" fillId="8" borderId="45" xfId="0" applyFont="1" applyFill="1" applyBorder="1" applyAlignment="1">
      <alignment horizontal="center" vertical="center"/>
    </xf>
    <xf numFmtId="165" fontId="6" fillId="0" borderId="5" xfId="3" applyFont="1" applyBorder="1" applyAlignment="1">
      <alignment horizontal="center" vertical="center"/>
    </xf>
    <xf numFmtId="165" fontId="6" fillId="0" borderId="6" xfId="3" applyFont="1" applyBorder="1" applyAlignment="1">
      <alignment horizontal="center" vertical="center"/>
    </xf>
    <xf numFmtId="165" fontId="6" fillId="0" borderId="43" xfId="3" applyFont="1" applyBorder="1" applyAlignment="1">
      <alignment horizontal="center" vertical="center"/>
    </xf>
    <xf numFmtId="165" fontId="6" fillId="8" borderId="5" xfId="3" applyFont="1" applyFill="1" applyBorder="1" applyAlignment="1">
      <alignment horizontal="center" vertical="center"/>
    </xf>
    <xf numFmtId="165" fontId="6" fillId="8" borderId="6" xfId="3" applyFont="1" applyFill="1" applyBorder="1" applyAlignment="1">
      <alignment horizontal="center" vertical="center"/>
    </xf>
    <xf numFmtId="165" fontId="6" fillId="8" borderId="7" xfId="3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6" fillId="10" borderId="19" xfId="0" applyFont="1" applyFill="1" applyBorder="1" applyAlignment="1">
      <alignment horizontal="center"/>
    </xf>
    <xf numFmtId="0" fontId="6" fillId="10" borderId="4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9" fontId="6" fillId="0" borderId="21" xfId="2" applyFont="1" applyBorder="1" applyAlignment="1">
      <alignment horizontal="center"/>
    </xf>
    <xf numFmtId="9" fontId="6" fillId="0" borderId="22" xfId="2" applyFont="1" applyBorder="1" applyAlignment="1">
      <alignment horizontal="center"/>
    </xf>
    <xf numFmtId="9" fontId="6" fillId="0" borderId="12" xfId="2" applyFont="1" applyBorder="1" applyAlignment="1">
      <alignment horizontal="center"/>
    </xf>
    <xf numFmtId="0" fontId="6" fillId="10" borderId="25" xfId="0" applyFont="1" applyFill="1" applyBorder="1" applyAlignment="1">
      <alignment horizontal="center" vertical="center"/>
    </xf>
    <xf numFmtId="0" fontId="6" fillId="10" borderId="26" xfId="0" applyFont="1" applyFill="1" applyBorder="1" applyAlignment="1">
      <alignment horizontal="center" vertical="center"/>
    </xf>
    <xf numFmtId="0" fontId="6" fillId="10" borderId="27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11" fillId="10" borderId="21" xfId="0" applyFont="1" applyFill="1" applyBorder="1" applyAlignment="1">
      <alignment horizontal="center"/>
    </xf>
    <xf numFmtId="0" fontId="11" fillId="10" borderId="22" xfId="0" applyFont="1" applyFill="1" applyBorder="1" applyAlignment="1">
      <alignment horizontal="center"/>
    </xf>
    <xf numFmtId="0" fontId="11" fillId="10" borderId="12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2" xfId="0" applyFont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4" fontId="6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isa/Downloads/licitacoes_anexos_448_2375_16947135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1. Coleta Orgânica"/>
      <sheetName val="2. Coleta Seletiva "/>
      <sheetName val="3. Destino Final"/>
      <sheetName val="4.Enc Sociais"/>
      <sheetName val="5.CAGED"/>
      <sheetName val="6.BDI"/>
      <sheetName val="6.1.BDI Aterro"/>
      <sheetName val="7. Ton"/>
      <sheetName val="8. Horários"/>
      <sheetName val="9. Roteiros"/>
      <sheetName val="10. Depr"/>
      <sheetName val="11. Rem capital"/>
      <sheetName val="12. Dimens"/>
    </sheetNames>
    <sheetDataSet>
      <sheetData sheetId="0"/>
      <sheetData sheetId="1"/>
      <sheetData sheetId="2"/>
      <sheetData sheetId="3"/>
      <sheetData sheetId="4"/>
      <sheetData sheetId="5">
        <row r="33">
          <cell r="C33">
            <v>360</v>
          </cell>
        </row>
        <row r="36">
          <cell r="C36">
            <v>30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74"/>
  <sheetViews>
    <sheetView tabSelected="1" view="pageBreakPreview" topLeftCell="A214" zoomScale="82" zoomScaleNormal="100" zoomScaleSheetLayoutView="82" workbookViewId="0">
      <selection activeCell="E66" sqref="E66"/>
    </sheetView>
  </sheetViews>
  <sheetFormatPr defaultColWidth="9.109375" defaultRowHeight="13.8" x14ac:dyDescent="0.25"/>
  <cols>
    <col min="1" max="1" width="44.5546875" style="6" customWidth="1"/>
    <col min="2" max="2" width="16" style="6" bestFit="1" customWidth="1"/>
    <col min="3" max="3" width="13.109375" style="6" bestFit="1" customWidth="1"/>
    <col min="4" max="4" width="18.77734375" style="8" bestFit="1" customWidth="1"/>
    <col min="5" max="5" width="17.33203125" style="8" bestFit="1" customWidth="1"/>
    <col min="6" max="6" width="13.33203125" style="8" customWidth="1"/>
    <col min="7" max="7" width="28.109375" style="8" customWidth="1"/>
    <col min="8" max="8" width="9.109375" style="6"/>
    <col min="9" max="9" width="14.5546875" style="6" customWidth="1"/>
    <col min="10" max="10" width="13.44140625" style="6" customWidth="1"/>
    <col min="11" max="16384" width="9.109375" style="6"/>
  </cols>
  <sheetData>
    <row r="1" spans="1:7" ht="14.4" thickBot="1" x14ac:dyDescent="0.3">
      <c r="A1" s="294" t="s">
        <v>292</v>
      </c>
      <c r="B1" s="294"/>
      <c r="C1" s="294"/>
      <c r="D1" s="294"/>
      <c r="E1" s="294"/>
      <c r="F1" s="294"/>
    </row>
    <row r="2" spans="1:7" x14ac:dyDescent="0.25">
      <c r="A2" s="299" t="s">
        <v>217</v>
      </c>
      <c r="B2" s="300"/>
      <c r="C2" s="300"/>
      <c r="D2" s="300"/>
      <c r="E2" s="300"/>
      <c r="F2" s="301"/>
    </row>
    <row r="3" spans="1:7" ht="21.75" customHeight="1" x14ac:dyDescent="0.25">
      <c r="A3" s="302" t="s">
        <v>42</v>
      </c>
      <c r="B3" s="303"/>
      <c r="C3" s="303"/>
      <c r="D3" s="303"/>
      <c r="E3" s="303"/>
      <c r="F3" s="304"/>
    </row>
    <row r="4" spans="1:7" ht="10.95" customHeight="1" thickBot="1" x14ac:dyDescent="0.3">
      <c r="A4" s="125"/>
      <c r="B4" s="126"/>
      <c r="C4" s="126"/>
      <c r="D4" s="127"/>
      <c r="E4" s="127"/>
      <c r="F4" s="128"/>
    </row>
    <row r="5" spans="1:7" ht="15.75" customHeight="1" thickBot="1" x14ac:dyDescent="0.3">
      <c r="A5" s="308" t="s">
        <v>202</v>
      </c>
      <c r="B5" s="309"/>
      <c r="C5" s="309"/>
      <c r="D5" s="309"/>
      <c r="E5" s="309"/>
      <c r="F5" s="310"/>
    </row>
    <row r="6" spans="1:7" ht="15.75" customHeight="1" x14ac:dyDescent="0.25">
      <c r="A6" s="129" t="s">
        <v>201</v>
      </c>
      <c r="B6" s="130"/>
      <c r="C6" s="130"/>
      <c r="D6" s="131"/>
      <c r="E6" s="132" t="s">
        <v>37</v>
      </c>
      <c r="F6" s="133" t="s">
        <v>2</v>
      </c>
    </row>
    <row r="7" spans="1:7" s="140" customFormat="1" ht="15.75" customHeight="1" x14ac:dyDescent="0.25">
      <c r="A7" s="134" t="str">
        <f>A40</f>
        <v>1. Mão-de-obra</v>
      </c>
      <c r="B7" s="135"/>
      <c r="C7" s="136"/>
      <c r="D7" s="136"/>
      <c r="E7" s="137">
        <f>+F90</f>
        <v>10273.505311822559</v>
      </c>
      <c r="F7" s="138">
        <f t="shared" ref="F7:F24" si="0">IFERROR(E7/$E$25,0)</f>
        <v>0.39262298554197111</v>
      </c>
      <c r="G7" s="139"/>
    </row>
    <row r="8" spans="1:7" ht="15.75" customHeight="1" x14ac:dyDescent="0.25">
      <c r="A8" s="141" t="str">
        <f>A42</f>
        <v>1.1. Coletor Turno Dia</v>
      </c>
      <c r="B8" s="142"/>
      <c r="C8" s="143"/>
      <c r="D8" s="143"/>
      <c r="E8" s="144">
        <f>F53</f>
        <v>6045.4223987001596</v>
      </c>
      <c r="F8" s="145">
        <f t="shared" si="0"/>
        <v>0.2310381626326215</v>
      </c>
    </row>
    <row r="9" spans="1:7" ht="15.75" customHeight="1" x14ac:dyDescent="0.25">
      <c r="A9" s="141" t="str">
        <f>A55</f>
        <v>1.3. Motorista Turno do Dia</v>
      </c>
      <c r="B9" s="142"/>
      <c r="C9" s="143"/>
      <c r="D9" s="143"/>
      <c r="E9" s="144">
        <f>F68</f>
        <v>2370.8487131223997</v>
      </c>
      <c r="F9" s="145">
        <f t="shared" si="0"/>
        <v>9.0606825203395011E-2</v>
      </c>
    </row>
    <row r="10" spans="1:7" ht="15.75" customHeight="1" x14ac:dyDescent="0.25">
      <c r="A10" s="141" t="str">
        <f>A71</f>
        <v>1.5. Vale Transporte</v>
      </c>
      <c r="B10" s="142"/>
      <c r="C10" s="143"/>
      <c r="D10" s="143"/>
      <c r="E10" s="144">
        <f>F77</f>
        <v>461.80420000000004</v>
      </c>
      <c r="F10" s="145">
        <f t="shared" si="0"/>
        <v>1.7648790576977429E-2</v>
      </c>
    </row>
    <row r="11" spans="1:7" ht="15.75" customHeight="1" x14ac:dyDescent="0.25">
      <c r="A11" s="141" t="str">
        <f>A79</f>
        <v>1.6. Vale-refeição (diário)</v>
      </c>
      <c r="B11" s="142"/>
      <c r="C11" s="143"/>
      <c r="D11" s="143"/>
      <c r="E11" s="144">
        <f>F83</f>
        <v>1274</v>
      </c>
      <c r="F11" s="145">
        <f t="shared" si="0"/>
        <v>4.8688511700563236E-2</v>
      </c>
    </row>
    <row r="12" spans="1:7" ht="15.75" customHeight="1" x14ac:dyDescent="0.25">
      <c r="A12" s="141" t="str">
        <f>A85</f>
        <v>1.7. Auxílio Alimentação (mensal)</v>
      </c>
      <c r="B12" s="142"/>
      <c r="C12" s="143"/>
      <c r="D12" s="143"/>
      <c r="E12" s="144">
        <f>F88</f>
        <v>121.43</v>
      </c>
      <c r="F12" s="145">
        <f t="shared" si="0"/>
        <v>4.6406954284139669E-3</v>
      </c>
    </row>
    <row r="13" spans="1:7" s="140" customFormat="1" ht="15.75" customHeight="1" x14ac:dyDescent="0.25">
      <c r="A13" s="297" t="str">
        <f>A92</f>
        <v>2. Uniformes e Equipamentos de Proteção Individual</v>
      </c>
      <c r="B13" s="298"/>
      <c r="C13" s="298"/>
      <c r="D13" s="136"/>
      <c r="E13" s="137">
        <f>+F126</f>
        <v>416.01666666666665</v>
      </c>
      <c r="F13" s="138">
        <f t="shared" si="0"/>
        <v>1.5898926485580309E-2</v>
      </c>
      <c r="G13" s="139"/>
    </row>
    <row r="14" spans="1:7" s="140" customFormat="1" ht="15.75" customHeight="1" x14ac:dyDescent="0.25">
      <c r="A14" s="146" t="str">
        <f>A128</f>
        <v>3. Veículos e Equipamentos</v>
      </c>
      <c r="B14" s="147"/>
      <c r="C14" s="136"/>
      <c r="D14" s="136"/>
      <c r="E14" s="137">
        <f>+F207</f>
        <v>9644.6108773143933</v>
      </c>
      <c r="F14" s="138">
        <f t="shared" si="0"/>
        <v>0.36858850042974983</v>
      </c>
      <c r="G14" s="139"/>
    </row>
    <row r="15" spans="1:7" ht="15.75" customHeight="1" x14ac:dyDescent="0.25">
      <c r="A15" s="148" t="str">
        <f>A130</f>
        <v>3.1. Veículo Coletor Compactador xx m³</v>
      </c>
      <c r="B15" s="149"/>
      <c r="C15" s="143"/>
      <c r="D15" s="143"/>
      <c r="E15" s="144">
        <f>SUM(E16:E21)</f>
        <v>9644.6108773143933</v>
      </c>
      <c r="F15" s="145">
        <f t="shared" si="0"/>
        <v>0.36858850042974983</v>
      </c>
    </row>
    <row r="16" spans="1:7" ht="15.75" customHeight="1" x14ac:dyDescent="0.25">
      <c r="A16" s="148" t="str">
        <f>A132</f>
        <v>3.1.1. Depreciação</v>
      </c>
      <c r="B16" s="149"/>
      <c r="C16" s="143"/>
      <c r="D16" s="143"/>
      <c r="E16" s="144">
        <f>F147</f>
        <v>1344.3375000000001</v>
      </c>
      <c r="F16" s="145">
        <f t="shared" si="0"/>
        <v>5.1376602902869647E-2</v>
      </c>
    </row>
    <row r="17" spans="1:7" ht="15.75" customHeight="1" x14ac:dyDescent="0.25">
      <c r="A17" s="148" t="str">
        <f>A149</f>
        <v>3.1.2. Remuneração do Capital</v>
      </c>
      <c r="B17" s="149"/>
      <c r="C17" s="143"/>
      <c r="D17" s="143"/>
      <c r="E17" s="144">
        <f>F164</f>
        <v>1858.3738593749999</v>
      </c>
      <c r="F17" s="145">
        <f t="shared" si="0"/>
        <v>7.102155211632695E-2</v>
      </c>
    </row>
    <row r="18" spans="1:7" ht="15.75" customHeight="1" x14ac:dyDescent="0.25">
      <c r="A18" s="148" t="str">
        <f>A166</f>
        <v>3.1.3. Impostos e Seguros</v>
      </c>
      <c r="B18" s="149"/>
      <c r="C18" s="143"/>
      <c r="D18" s="143"/>
      <c r="E18" s="144">
        <f>F172</f>
        <v>331.00416666666666</v>
      </c>
      <c r="F18" s="145">
        <f t="shared" si="0"/>
        <v>1.2650000189705796E-2</v>
      </c>
    </row>
    <row r="19" spans="1:7" ht="15.75" customHeight="1" x14ac:dyDescent="0.25">
      <c r="A19" s="148" t="str">
        <f>A174</f>
        <v>3.1.4. Consumos</v>
      </c>
      <c r="B19" s="149"/>
      <c r="C19" s="143"/>
      <c r="D19" s="143"/>
      <c r="E19" s="144">
        <f>F190</f>
        <v>4449.7348520727273</v>
      </c>
      <c r="F19" s="145">
        <f t="shared" si="0"/>
        <v>0.17005570440309811</v>
      </c>
    </row>
    <row r="20" spans="1:7" ht="15.75" customHeight="1" x14ac:dyDescent="0.25">
      <c r="A20" s="148" t="str">
        <f>A192</f>
        <v>3.1.5. Manutenção</v>
      </c>
      <c r="B20" s="149"/>
      <c r="C20" s="143"/>
      <c r="D20" s="143"/>
      <c r="E20" s="144">
        <f>F195</f>
        <v>1197.7344000000001</v>
      </c>
      <c r="F20" s="145">
        <f t="shared" si="0"/>
        <v>4.5773866050680602E-2</v>
      </c>
    </row>
    <row r="21" spans="1:7" ht="15.75" customHeight="1" x14ac:dyDescent="0.25">
      <c r="A21" s="148" t="str">
        <f>A197</f>
        <v>3.1.6. Pneus</v>
      </c>
      <c r="B21" s="149"/>
      <c r="C21" s="143"/>
      <c r="D21" s="143"/>
      <c r="E21" s="144">
        <f>F204</f>
        <v>463.42609920000001</v>
      </c>
      <c r="F21" s="145">
        <f t="shared" si="0"/>
        <v>1.7710774767068744E-2</v>
      </c>
    </row>
    <row r="22" spans="1:7" s="140" customFormat="1" ht="15.75" customHeight="1" x14ac:dyDescent="0.25">
      <c r="A22" s="146" t="str">
        <f>A209</f>
        <v>4. Ferramentas e Materiais de Consumo</v>
      </c>
      <c r="B22" s="147"/>
      <c r="C22" s="136"/>
      <c r="D22" s="136"/>
      <c r="E22" s="137">
        <f>+F219</f>
        <v>255.16666666666666</v>
      </c>
      <c r="F22" s="138">
        <f t="shared" si="0"/>
        <v>9.7517152555680678E-3</v>
      </c>
      <c r="G22" s="139"/>
    </row>
    <row r="23" spans="1:7" s="140" customFormat="1" ht="15.75" customHeight="1" x14ac:dyDescent="0.25">
      <c r="A23" s="146" t="str">
        <f>A221</f>
        <v>5. Monitoramento da Frota</v>
      </c>
      <c r="B23" s="147"/>
      <c r="C23" s="136"/>
      <c r="D23" s="136"/>
      <c r="E23" s="137">
        <f>+F230</f>
        <v>126.66666666666667</v>
      </c>
      <c r="F23" s="138">
        <f t="shared" si="0"/>
        <v>4.8408253391454817E-3</v>
      </c>
      <c r="G23" s="139"/>
    </row>
    <row r="24" spans="1:7" s="140" customFormat="1" ht="15.75" customHeight="1" thickBot="1" x14ac:dyDescent="0.3">
      <c r="A24" s="146" t="str">
        <f>A234</f>
        <v>6. Benefícios e Despesas Indiretas - BDI</v>
      </c>
      <c r="B24" s="147"/>
      <c r="C24" s="136"/>
      <c r="D24" s="136"/>
      <c r="E24" s="150">
        <f>+F240</f>
        <v>5450.3707043619324</v>
      </c>
      <c r="F24" s="138">
        <f t="shared" si="0"/>
        <v>0.20829704694798512</v>
      </c>
      <c r="G24" s="139"/>
    </row>
    <row r="25" spans="1:7" ht="15.75" customHeight="1" thickBot="1" x14ac:dyDescent="0.3">
      <c r="A25" s="151" t="s">
        <v>235</v>
      </c>
      <c r="B25" s="152"/>
      <c r="C25" s="153"/>
      <c r="D25" s="153"/>
      <c r="E25" s="154">
        <f>E7+E13+E14+E22+E23+E24</f>
        <v>26166.336893498887</v>
      </c>
      <c r="F25" s="155">
        <f>F7+F13+F14+F22+F23+F24</f>
        <v>0.99999999999999989</v>
      </c>
    </row>
    <row r="27" spans="1:7" ht="14.4" thickBot="1" x14ac:dyDescent="0.3"/>
    <row r="28" spans="1:7" ht="15" customHeight="1" thickBot="1" x14ac:dyDescent="0.3">
      <c r="A28" s="308" t="s">
        <v>96</v>
      </c>
      <c r="B28" s="309"/>
      <c r="C28" s="309"/>
      <c r="D28" s="309"/>
      <c r="E28" s="310"/>
    </row>
    <row r="29" spans="1:7" ht="15" customHeight="1" thickBot="1" x14ac:dyDescent="0.3">
      <c r="A29" s="305" t="s">
        <v>38</v>
      </c>
      <c r="B29" s="306"/>
      <c r="C29" s="306"/>
      <c r="D29" s="307"/>
      <c r="E29" s="156" t="s">
        <v>39</v>
      </c>
    </row>
    <row r="30" spans="1:7" ht="15" customHeight="1" x14ac:dyDescent="0.25">
      <c r="A30" s="157" t="str">
        <f>+A42</f>
        <v>1.1. Coletor Turno Dia</v>
      </c>
      <c r="B30" s="130"/>
      <c r="C30" s="130"/>
      <c r="D30" s="158"/>
      <c r="E30" s="159">
        <v>3</v>
      </c>
    </row>
    <row r="31" spans="1:7" ht="15" customHeight="1" x14ac:dyDescent="0.25">
      <c r="A31" s="141" t="str">
        <f>+A55</f>
        <v>1.3. Motorista Turno do Dia</v>
      </c>
      <c r="B31" s="143"/>
      <c r="C31" s="143"/>
      <c r="D31" s="160"/>
      <c r="E31" s="161">
        <v>1</v>
      </c>
    </row>
    <row r="32" spans="1:7" ht="15" customHeight="1" thickBot="1" x14ac:dyDescent="0.3">
      <c r="A32" s="162" t="s">
        <v>58</v>
      </c>
      <c r="B32" s="163"/>
      <c r="C32" s="163"/>
      <c r="D32" s="164"/>
      <c r="E32" s="165">
        <f>SUM(E30:E31)</f>
        <v>4</v>
      </c>
    </row>
    <row r="33" spans="1:7" ht="15" customHeight="1" thickBot="1" x14ac:dyDescent="0.3">
      <c r="A33" s="166"/>
      <c r="B33" s="167"/>
      <c r="C33" s="168"/>
      <c r="D33" s="168"/>
      <c r="E33" s="169"/>
    </row>
    <row r="34" spans="1:7" ht="15" customHeight="1" x14ac:dyDescent="0.25">
      <c r="A34" s="295" t="s">
        <v>55</v>
      </c>
      <c r="B34" s="296"/>
      <c r="C34" s="296"/>
      <c r="D34" s="296"/>
      <c r="E34" s="156" t="s">
        <v>39</v>
      </c>
      <c r="F34" s="6"/>
    </row>
    <row r="35" spans="1:7" ht="15" customHeight="1" thickBot="1" x14ac:dyDescent="0.3">
      <c r="A35" s="170" t="str">
        <f>+A130</f>
        <v>3.1. Veículo Coletor Compactador xx m³</v>
      </c>
      <c r="B35" s="171"/>
      <c r="C35" s="171"/>
      <c r="D35" s="172"/>
      <c r="E35" s="173">
        <v>1</v>
      </c>
      <c r="F35" s="6"/>
    </row>
    <row r="36" spans="1:7" ht="15" customHeight="1" x14ac:dyDescent="0.25">
      <c r="A36" s="168"/>
      <c r="B36" s="168"/>
      <c r="C36" s="168"/>
      <c r="D36" s="174"/>
      <c r="E36" s="175"/>
      <c r="F36" s="6"/>
    </row>
    <row r="37" spans="1:7" ht="14.4" thickBot="1" x14ac:dyDescent="0.3">
      <c r="A37" s="168"/>
      <c r="B37" s="168"/>
      <c r="C37" s="168"/>
      <c r="D37" s="174"/>
      <c r="E37" s="176"/>
      <c r="F37" s="6"/>
    </row>
    <row r="38" spans="1:7" s="140" customFormat="1" ht="15.75" customHeight="1" thickBot="1" x14ac:dyDescent="0.3">
      <c r="A38" s="177" t="s">
        <v>196</v>
      </c>
      <c r="B38" s="178">
        <v>0.5</v>
      </c>
      <c r="C38" s="179"/>
      <c r="D38" s="180"/>
      <c r="E38" s="181"/>
      <c r="G38" s="139"/>
    </row>
    <row r="39" spans="1:7" ht="15.75" customHeight="1" x14ac:dyDescent="0.25">
      <c r="A39" s="168"/>
      <c r="B39" s="168"/>
      <c r="C39" s="168"/>
      <c r="D39" s="174"/>
      <c r="E39" s="176"/>
      <c r="F39" s="6"/>
    </row>
    <row r="40" spans="1:7" ht="13.2" customHeight="1" x14ac:dyDescent="0.25">
      <c r="A40" s="140" t="s">
        <v>46</v>
      </c>
    </row>
    <row r="41" spans="1:7" ht="11.25" customHeight="1" x14ac:dyDescent="0.25"/>
    <row r="42" spans="1:7" ht="13.95" customHeight="1" thickBot="1" x14ac:dyDescent="0.3">
      <c r="A42" s="6" t="s">
        <v>97</v>
      </c>
    </row>
    <row r="43" spans="1:7" ht="13.95" customHeight="1" thickBot="1" x14ac:dyDescent="0.3">
      <c r="A43" s="182" t="s">
        <v>63</v>
      </c>
      <c r="B43" s="183" t="s">
        <v>64</v>
      </c>
      <c r="C43" s="183" t="s">
        <v>39</v>
      </c>
      <c r="D43" s="184" t="s">
        <v>231</v>
      </c>
      <c r="E43" s="184" t="s">
        <v>65</v>
      </c>
      <c r="F43" s="185" t="s">
        <v>340</v>
      </c>
    </row>
    <row r="44" spans="1:7" ht="13.2" customHeight="1" x14ac:dyDescent="0.25">
      <c r="A44" s="186" t="s">
        <v>211</v>
      </c>
      <c r="B44" s="187" t="s">
        <v>7</v>
      </c>
      <c r="C44" s="187">
        <v>1</v>
      </c>
      <c r="D44" s="188">
        <v>1687.48</v>
      </c>
      <c r="E44" s="189">
        <f>C44*D44</f>
        <v>1687.48</v>
      </c>
    </row>
    <row r="45" spans="1:7" x14ac:dyDescent="0.25">
      <c r="A45" s="190" t="s">
        <v>33</v>
      </c>
      <c r="B45" s="191" t="s">
        <v>0</v>
      </c>
      <c r="C45" s="192"/>
      <c r="D45" s="193">
        <f>D44/220*2</f>
        <v>15.340727272727273</v>
      </c>
      <c r="E45" s="193">
        <f>C45*D45</f>
        <v>0</v>
      </c>
      <c r="G45" s="8" t="s">
        <v>245</v>
      </c>
    </row>
    <row r="46" spans="1:7" ht="13.2" customHeight="1" x14ac:dyDescent="0.25">
      <c r="A46" s="190" t="s">
        <v>34</v>
      </c>
      <c r="B46" s="191" t="s">
        <v>0</v>
      </c>
      <c r="C46" s="194"/>
      <c r="D46" s="193">
        <f>D44/220*1.5</f>
        <v>11.505545454545455</v>
      </c>
      <c r="E46" s="193">
        <f>C46*D46</f>
        <v>0</v>
      </c>
      <c r="G46" s="8" t="s">
        <v>246</v>
      </c>
    </row>
    <row r="47" spans="1:7" ht="13.2" customHeight="1" x14ac:dyDescent="0.25">
      <c r="A47" s="190" t="s">
        <v>214</v>
      </c>
      <c r="B47" s="191" t="s">
        <v>32</v>
      </c>
      <c r="D47" s="193">
        <f>63/302*(SUM(E45:E46))</f>
        <v>0</v>
      </c>
      <c r="E47" s="193">
        <f>D47</f>
        <v>0</v>
      </c>
      <c r="G47" s="8" t="s">
        <v>213</v>
      </c>
    </row>
    <row r="48" spans="1:7" x14ac:dyDescent="0.25">
      <c r="A48" s="190" t="s">
        <v>1</v>
      </c>
      <c r="B48" s="191" t="s">
        <v>2</v>
      </c>
      <c r="C48" s="191">
        <v>40</v>
      </c>
      <c r="D48" s="195">
        <f>SUM(E44:E47)</f>
        <v>1687.48</v>
      </c>
      <c r="E48" s="193">
        <f>C48*D48/100</f>
        <v>674.99199999999996</v>
      </c>
    </row>
    <row r="49" spans="1:7" x14ac:dyDescent="0.25">
      <c r="A49" s="196" t="s">
        <v>3</v>
      </c>
      <c r="B49" s="197"/>
      <c r="C49" s="197"/>
      <c r="D49" s="198"/>
      <c r="E49" s="199">
        <f>SUM(E44:E48)</f>
        <v>2362.4719999999998</v>
      </c>
    </row>
    <row r="50" spans="1:7" x14ac:dyDescent="0.25">
      <c r="A50" s="190" t="s">
        <v>4</v>
      </c>
      <c r="B50" s="191" t="s">
        <v>2</v>
      </c>
      <c r="C50" s="200">
        <f>'2.Encargos Sociais'!$C$38*100</f>
        <v>70.595951999999997</v>
      </c>
      <c r="D50" s="193">
        <f>E49</f>
        <v>2362.4719999999998</v>
      </c>
      <c r="E50" s="193">
        <f>D50*C50/100</f>
        <v>1667.8095991334399</v>
      </c>
    </row>
    <row r="51" spans="1:7" x14ac:dyDescent="0.25">
      <c r="A51" s="196" t="s">
        <v>71</v>
      </c>
      <c r="B51" s="197"/>
      <c r="C51" s="197"/>
      <c r="D51" s="198"/>
      <c r="E51" s="199">
        <f>E49+E50</f>
        <v>4030.2815991334396</v>
      </c>
    </row>
    <row r="52" spans="1:7" ht="14.4" thickBot="1" x14ac:dyDescent="0.3">
      <c r="A52" s="190" t="s">
        <v>5</v>
      </c>
      <c r="B52" s="191" t="s">
        <v>6</v>
      </c>
      <c r="C52" s="201">
        <v>3</v>
      </c>
      <c r="D52" s="193">
        <f>E51</f>
        <v>4030.2815991334396</v>
      </c>
      <c r="E52" s="193">
        <f>C52*D52</f>
        <v>12090.844797400319</v>
      </c>
    </row>
    <row r="53" spans="1:7" ht="13.95" customHeight="1" thickBot="1" x14ac:dyDescent="0.3">
      <c r="D53" s="202" t="s">
        <v>195</v>
      </c>
      <c r="E53" s="203">
        <f>$B$38</f>
        <v>0.5</v>
      </c>
      <c r="F53" s="204">
        <f>E52*E53</f>
        <v>6045.4223987001596</v>
      </c>
    </row>
    <row r="54" spans="1:7" ht="11.25" customHeight="1" x14ac:dyDescent="0.25"/>
    <row r="55" spans="1:7" ht="14.4" thickBot="1" x14ac:dyDescent="0.3">
      <c r="A55" s="6" t="s">
        <v>98</v>
      </c>
    </row>
    <row r="56" spans="1:7" ht="13.2" customHeight="1" thickBot="1" x14ac:dyDescent="0.3">
      <c r="A56" s="182" t="s">
        <v>63</v>
      </c>
      <c r="B56" s="183" t="s">
        <v>64</v>
      </c>
      <c r="C56" s="183" t="s">
        <v>39</v>
      </c>
      <c r="D56" s="184" t="s">
        <v>231</v>
      </c>
      <c r="E56" s="184" t="s">
        <v>65</v>
      </c>
      <c r="F56" s="185" t="s">
        <v>340</v>
      </c>
    </row>
    <row r="57" spans="1:7" x14ac:dyDescent="0.25">
      <c r="A57" s="186" t="s">
        <v>281</v>
      </c>
      <c r="B57" s="187" t="s">
        <v>7</v>
      </c>
      <c r="C57" s="187">
        <v>1</v>
      </c>
      <c r="D57" s="188">
        <v>2251.4899999999998</v>
      </c>
      <c r="E57" s="189">
        <f>C57*D57</f>
        <v>2251.4899999999998</v>
      </c>
    </row>
    <row r="58" spans="1:7" x14ac:dyDescent="0.25">
      <c r="A58" s="186" t="s">
        <v>282</v>
      </c>
      <c r="B58" s="187" t="s">
        <v>7</v>
      </c>
      <c r="C58" s="187">
        <v>1</v>
      </c>
      <c r="D58" s="188">
        <v>1320</v>
      </c>
      <c r="E58" s="189"/>
    </row>
    <row r="59" spans="1:7" x14ac:dyDescent="0.25">
      <c r="A59" s="190" t="s">
        <v>33</v>
      </c>
      <c r="B59" s="191" t="s">
        <v>0</v>
      </c>
      <c r="C59" s="192"/>
      <c r="D59" s="193">
        <f>D57/220*2</f>
        <v>20.468090909090908</v>
      </c>
      <c r="E59" s="193">
        <f>C59*D59</f>
        <v>0</v>
      </c>
      <c r="G59" s="8" t="s">
        <v>245</v>
      </c>
    </row>
    <row r="60" spans="1:7" x14ac:dyDescent="0.25">
      <c r="A60" s="190" t="s">
        <v>34</v>
      </c>
      <c r="B60" s="191" t="s">
        <v>0</v>
      </c>
      <c r="C60" s="192"/>
      <c r="D60" s="193">
        <f>D57/220*1.5</f>
        <v>15.351068181818182</v>
      </c>
      <c r="E60" s="193">
        <f>C60*D60</f>
        <v>0</v>
      </c>
      <c r="G60" s="8" t="s">
        <v>246</v>
      </c>
    </row>
    <row r="61" spans="1:7" ht="13.2" customHeight="1" x14ac:dyDescent="0.25">
      <c r="A61" s="190" t="s">
        <v>214</v>
      </c>
      <c r="B61" s="191" t="s">
        <v>32</v>
      </c>
      <c r="D61" s="193">
        <f>63/302*(SUM(E59:E60))</f>
        <v>0</v>
      </c>
      <c r="E61" s="193">
        <f>D61</f>
        <v>0</v>
      </c>
      <c r="G61" s="8" t="s">
        <v>213</v>
      </c>
    </row>
    <row r="62" spans="1:7" x14ac:dyDescent="0.25">
      <c r="A62" s="190" t="s">
        <v>212</v>
      </c>
      <c r="B62" s="191"/>
      <c r="C62" s="205">
        <v>2</v>
      </c>
      <c r="D62" s="193"/>
      <c r="E62" s="193"/>
    </row>
    <row r="63" spans="1:7" x14ac:dyDescent="0.25">
      <c r="A63" s="190" t="s">
        <v>1</v>
      </c>
      <c r="B63" s="191" t="s">
        <v>2</v>
      </c>
      <c r="C63" s="206">
        <v>40</v>
      </c>
      <c r="D63" s="290">
        <f>D58</f>
        <v>1320</v>
      </c>
      <c r="E63" s="193">
        <f>C63*D63/100</f>
        <v>528</v>
      </c>
    </row>
    <row r="64" spans="1:7" s="140" customFormat="1" x14ac:dyDescent="0.25">
      <c r="A64" s="207" t="s">
        <v>3</v>
      </c>
      <c r="B64" s="197"/>
      <c r="C64" s="197"/>
      <c r="D64" s="198"/>
      <c r="E64" s="208">
        <f>SUM(E57:E63)</f>
        <v>2779.49</v>
      </c>
      <c r="F64" s="139"/>
      <c r="G64" s="139"/>
    </row>
    <row r="65" spans="1:7" x14ac:dyDescent="0.25">
      <c r="A65" s="190" t="s">
        <v>4</v>
      </c>
      <c r="B65" s="191" t="s">
        <v>2</v>
      </c>
      <c r="C65" s="291">
        <f>'2.Encargos Sociais'!C38</f>
        <v>0.70595951999999995</v>
      </c>
      <c r="D65" s="193">
        <f>E64</f>
        <v>2779.49</v>
      </c>
      <c r="E65" s="193">
        <f>D65*C65</f>
        <v>1962.2074262447998</v>
      </c>
    </row>
    <row r="66" spans="1:7" s="140" customFormat="1" x14ac:dyDescent="0.25">
      <c r="A66" s="207" t="s">
        <v>247</v>
      </c>
      <c r="B66" s="209"/>
      <c r="C66" s="209"/>
      <c r="D66" s="210"/>
      <c r="E66" s="208">
        <f>E64+E65</f>
        <v>4741.6974262447993</v>
      </c>
      <c r="F66" s="139"/>
      <c r="G66" s="139"/>
    </row>
    <row r="67" spans="1:7" ht="14.4" thickBot="1" x14ac:dyDescent="0.3">
      <c r="A67" s="190" t="s">
        <v>5</v>
      </c>
      <c r="B67" s="191" t="s">
        <v>6</v>
      </c>
      <c r="C67" s="206">
        <v>1</v>
      </c>
      <c r="D67" s="193">
        <f>E66</f>
        <v>4741.6974262447993</v>
      </c>
      <c r="E67" s="193">
        <f>C67*D67</f>
        <v>4741.6974262447993</v>
      </c>
    </row>
    <row r="68" spans="1:7" ht="14.4" thickBot="1" x14ac:dyDescent="0.3">
      <c r="D68" s="202" t="s">
        <v>195</v>
      </c>
      <c r="E68" s="203">
        <f>$B$38</f>
        <v>0.5</v>
      </c>
      <c r="F68" s="204">
        <f>E67*E68</f>
        <v>2370.8487131223997</v>
      </c>
    </row>
    <row r="69" spans="1:7" ht="11.25" customHeight="1" x14ac:dyDescent="0.25"/>
    <row r="70" spans="1:7" ht="11.25" customHeight="1" x14ac:dyDescent="0.25">
      <c r="G70" s="6"/>
    </row>
    <row r="71" spans="1:7" ht="14.4" thickBot="1" x14ac:dyDescent="0.3">
      <c r="A71" s="6" t="s">
        <v>99</v>
      </c>
      <c r="B71" s="211"/>
      <c r="D71" s="6"/>
      <c r="E71" s="6"/>
      <c r="G71" s="6"/>
    </row>
    <row r="72" spans="1:7" ht="14.4" thickBot="1" x14ac:dyDescent="0.3">
      <c r="A72" s="182" t="s">
        <v>63</v>
      </c>
      <c r="B72" s="183" t="s">
        <v>64</v>
      </c>
      <c r="C72" s="183" t="s">
        <v>39</v>
      </c>
      <c r="D72" s="184" t="s">
        <v>231</v>
      </c>
      <c r="E72" s="184" t="s">
        <v>65</v>
      </c>
      <c r="F72" s="185" t="s">
        <v>340</v>
      </c>
      <c r="G72" s="6"/>
    </row>
    <row r="73" spans="1:7" x14ac:dyDescent="0.25">
      <c r="A73" s="190" t="s">
        <v>90</v>
      </c>
      <c r="B73" s="191" t="s">
        <v>32</v>
      </c>
      <c r="C73" s="212">
        <v>1</v>
      </c>
      <c r="D73" s="213">
        <v>4.33</v>
      </c>
      <c r="E73" s="193"/>
      <c r="G73" s="6"/>
    </row>
    <row r="74" spans="1:7" x14ac:dyDescent="0.25">
      <c r="A74" s="190" t="s">
        <v>91</v>
      </c>
      <c r="B74" s="191" t="s">
        <v>92</v>
      </c>
      <c r="C74" s="292">
        <v>26</v>
      </c>
      <c r="D74" s="193"/>
      <c r="E74" s="193"/>
      <c r="G74" s="6"/>
    </row>
    <row r="75" spans="1:7" x14ac:dyDescent="0.25">
      <c r="A75" s="190" t="s">
        <v>72</v>
      </c>
      <c r="B75" s="191" t="s">
        <v>8</v>
      </c>
      <c r="C75" s="293">
        <f>$C$74*2*(C52)</f>
        <v>156</v>
      </c>
      <c r="D75" s="189">
        <f>IFERROR((($C$74*2*$D$73)-(E44*0.06*C74/26))/($C$74*2),"-")</f>
        <v>2.3829076923076924</v>
      </c>
      <c r="E75" s="193">
        <f>IFERROR(C75*D75,"-")</f>
        <v>371.73360000000002</v>
      </c>
      <c r="G75" s="6"/>
    </row>
    <row r="76" spans="1:7" ht="14.4" thickBot="1" x14ac:dyDescent="0.3">
      <c r="A76" s="186" t="s">
        <v>43</v>
      </c>
      <c r="B76" s="187" t="s">
        <v>8</v>
      </c>
      <c r="C76" s="293">
        <f>$C$74*2*(C67)</f>
        <v>52</v>
      </c>
      <c r="D76" s="189">
        <f>IFERROR((($C$74*2*$D$73)-(E57*0.06*C74/26))/($C$74*2),"-")</f>
        <v>1.7321269230769234</v>
      </c>
      <c r="E76" s="189">
        <f>IFERROR(C76*D76,"-")</f>
        <v>90.070600000000013</v>
      </c>
      <c r="G76" s="6"/>
    </row>
    <row r="77" spans="1:7" ht="14.4" thickBot="1" x14ac:dyDescent="0.3">
      <c r="F77" s="214">
        <f>SUM(E75:E76)</f>
        <v>461.80420000000004</v>
      </c>
      <c r="G77" s="6"/>
    </row>
    <row r="78" spans="1:7" ht="11.25" customHeight="1" x14ac:dyDescent="0.25">
      <c r="G78" s="6"/>
    </row>
    <row r="79" spans="1:7" ht="14.4" thickBot="1" x14ac:dyDescent="0.3">
      <c r="A79" s="6" t="s">
        <v>122</v>
      </c>
      <c r="F79" s="215"/>
      <c r="G79" s="6"/>
    </row>
    <row r="80" spans="1:7" ht="14.4" thickBot="1" x14ac:dyDescent="0.3">
      <c r="A80" s="182" t="s">
        <v>63</v>
      </c>
      <c r="B80" s="183" t="s">
        <v>64</v>
      </c>
      <c r="C80" s="183" t="s">
        <v>39</v>
      </c>
      <c r="D80" s="184" t="s">
        <v>231</v>
      </c>
      <c r="E80" s="184" t="s">
        <v>65</v>
      </c>
      <c r="F80" s="185" t="s">
        <v>340</v>
      </c>
      <c r="G80" s="6"/>
    </row>
    <row r="81" spans="1:7" x14ac:dyDescent="0.25">
      <c r="A81" s="190" t="str">
        <f>+A75</f>
        <v>Coletor</v>
      </c>
      <c r="B81" s="191" t="s">
        <v>9</v>
      </c>
      <c r="C81" s="216">
        <f>C74*(E30)</f>
        <v>78</v>
      </c>
      <c r="D81" s="217">
        <f>11</f>
        <v>11</v>
      </c>
      <c r="E81" s="203">
        <f>C81*D81</f>
        <v>858</v>
      </c>
      <c r="F81" s="215"/>
      <c r="G81" s="6"/>
    </row>
    <row r="82" spans="1:7" ht="14.4" thickBot="1" x14ac:dyDescent="0.3">
      <c r="A82" s="190" t="str">
        <f>+A76</f>
        <v>Motorista</v>
      </c>
      <c r="B82" s="191" t="s">
        <v>9</v>
      </c>
      <c r="C82" s="216">
        <f>C74*(E31)</f>
        <v>26</v>
      </c>
      <c r="D82" s="217">
        <v>16</v>
      </c>
      <c r="E82" s="203">
        <f>C82*D82</f>
        <v>416</v>
      </c>
      <c r="F82" s="215"/>
      <c r="G82" s="6"/>
    </row>
    <row r="83" spans="1:7" ht="14.4" thickBot="1" x14ac:dyDescent="0.3">
      <c r="F83" s="214">
        <f>SUM(E81:E82)</f>
        <v>1274</v>
      </c>
      <c r="G83" s="6"/>
    </row>
    <row r="84" spans="1:7" x14ac:dyDescent="0.25">
      <c r="G84" s="6"/>
    </row>
    <row r="85" spans="1:7" ht="14.4" thickBot="1" x14ac:dyDescent="0.3">
      <c r="A85" s="6" t="s">
        <v>123</v>
      </c>
      <c r="F85" s="215"/>
      <c r="G85" s="6"/>
    </row>
    <row r="86" spans="1:7" ht="14.4" thickBot="1" x14ac:dyDescent="0.3">
      <c r="A86" s="182" t="s">
        <v>63</v>
      </c>
      <c r="B86" s="183" t="s">
        <v>64</v>
      </c>
      <c r="C86" s="183" t="s">
        <v>39</v>
      </c>
      <c r="D86" s="184" t="s">
        <v>231</v>
      </c>
      <c r="E86" s="184" t="s">
        <v>65</v>
      </c>
      <c r="F86" s="185" t="s">
        <v>340</v>
      </c>
      <c r="G86" s="6"/>
    </row>
    <row r="87" spans="1:7" ht="14.4" thickBot="1" x14ac:dyDescent="0.3">
      <c r="A87" s="190" t="str">
        <f>+A82</f>
        <v>Motorista</v>
      </c>
      <c r="B87" s="191" t="s">
        <v>9</v>
      </c>
      <c r="C87" s="216">
        <f>E31</f>
        <v>1</v>
      </c>
      <c r="D87" s="217">
        <v>121.43</v>
      </c>
      <c r="E87" s="203">
        <f>D87</f>
        <v>121.43</v>
      </c>
      <c r="F87" s="215"/>
      <c r="G87" s="6"/>
    </row>
    <row r="88" spans="1:7" ht="14.4" thickBot="1" x14ac:dyDescent="0.3">
      <c r="D88" s="6"/>
      <c r="E88" s="6"/>
      <c r="F88" s="214">
        <f>D87</f>
        <v>121.43</v>
      </c>
      <c r="G88" s="6"/>
    </row>
    <row r="89" spans="1:7" ht="14.4" thickBot="1" x14ac:dyDescent="0.3">
      <c r="G89" s="6"/>
    </row>
    <row r="90" spans="1:7" ht="14.4" thickBot="1" x14ac:dyDescent="0.3">
      <c r="A90" s="218" t="s">
        <v>93</v>
      </c>
      <c r="B90" s="219"/>
      <c r="C90" s="219"/>
      <c r="D90" s="153"/>
      <c r="E90" s="220"/>
      <c r="F90" s="214">
        <f>F88+F83+F77+F68+F53</f>
        <v>10273.505311822559</v>
      </c>
      <c r="G90" s="6"/>
    </row>
    <row r="92" spans="1:7" x14ac:dyDescent="0.25">
      <c r="A92" s="140" t="s">
        <v>44</v>
      </c>
      <c r="G92" s="6"/>
    </row>
    <row r="93" spans="1:7" ht="11.25" customHeight="1" x14ac:dyDescent="0.25">
      <c r="G93" s="6"/>
    </row>
    <row r="94" spans="1:7" ht="13.95" customHeight="1" x14ac:dyDescent="0.25">
      <c r="A94" s="6" t="s">
        <v>197</v>
      </c>
      <c r="G94" s="6"/>
    </row>
    <row r="95" spans="1:7" ht="11.25" customHeight="1" thickBot="1" x14ac:dyDescent="0.3">
      <c r="G95" s="6"/>
    </row>
    <row r="96" spans="1:7" ht="27.75" customHeight="1" thickBot="1" x14ac:dyDescent="0.3">
      <c r="A96" s="182" t="s">
        <v>63</v>
      </c>
      <c r="B96" s="183" t="s">
        <v>64</v>
      </c>
      <c r="C96" s="221" t="s">
        <v>248</v>
      </c>
      <c r="D96" s="184" t="s">
        <v>231</v>
      </c>
      <c r="E96" s="184" t="s">
        <v>65</v>
      </c>
      <c r="F96" s="185" t="s">
        <v>340</v>
      </c>
      <c r="G96" s="6"/>
    </row>
    <row r="97" spans="1:7" x14ac:dyDescent="0.25">
      <c r="A97" s="186" t="s">
        <v>66</v>
      </c>
      <c r="B97" s="187" t="s">
        <v>9</v>
      </c>
      <c r="C97" s="222">
        <v>6</v>
      </c>
      <c r="D97" s="223">
        <v>145</v>
      </c>
      <c r="E97" s="189">
        <f>IFERROR(D97/C97,0)</f>
        <v>24.166666666666668</v>
      </c>
      <c r="G97" s="6"/>
    </row>
    <row r="98" spans="1:7" ht="13.2" customHeight="1" x14ac:dyDescent="0.25">
      <c r="A98" s="190" t="s">
        <v>28</v>
      </c>
      <c r="B98" s="191" t="s">
        <v>9</v>
      </c>
      <c r="C98" s="222">
        <v>4</v>
      </c>
      <c r="D98" s="223">
        <v>70</v>
      </c>
      <c r="E98" s="189">
        <f>IFERROR(D98/C98,0)</f>
        <v>17.5</v>
      </c>
      <c r="G98" s="6"/>
    </row>
    <row r="99" spans="1:7" ht="13.2" customHeight="1" x14ac:dyDescent="0.25">
      <c r="A99" s="190" t="s">
        <v>287</v>
      </c>
      <c r="B99" s="191" t="s">
        <v>9</v>
      </c>
      <c r="C99" s="222">
        <v>4</v>
      </c>
      <c r="D99" s="223">
        <v>26</v>
      </c>
      <c r="E99" s="189">
        <f>IFERROR(D99/C99,0)</f>
        <v>6.5</v>
      </c>
      <c r="G99" s="6"/>
    </row>
    <row r="100" spans="1:7" x14ac:dyDescent="0.25">
      <c r="A100" s="190" t="s">
        <v>288</v>
      </c>
      <c r="B100" s="191" t="s">
        <v>9</v>
      </c>
      <c r="C100" s="222">
        <v>4</v>
      </c>
      <c r="D100" s="223">
        <v>26</v>
      </c>
      <c r="E100" s="189">
        <f t="shared" ref="E100:E108" si="1">IFERROR(D100/C100,0)</f>
        <v>6.5</v>
      </c>
      <c r="G100" s="6"/>
    </row>
    <row r="101" spans="1:7" x14ac:dyDescent="0.25">
      <c r="A101" s="190" t="s">
        <v>289</v>
      </c>
      <c r="B101" s="191" t="s">
        <v>9</v>
      </c>
      <c r="C101" s="222">
        <v>4</v>
      </c>
      <c r="D101" s="223">
        <v>30</v>
      </c>
      <c r="E101" s="189">
        <f>IFERROR(D101/C101,0)</f>
        <v>7.5</v>
      </c>
      <c r="G101" s="6"/>
    </row>
    <row r="102" spans="1:7" ht="13.2" customHeight="1" x14ac:dyDescent="0.25">
      <c r="A102" s="190" t="s">
        <v>30</v>
      </c>
      <c r="B102" s="191" t="s">
        <v>9</v>
      </c>
      <c r="C102" s="222">
        <v>6</v>
      </c>
      <c r="D102" s="223">
        <v>25.5</v>
      </c>
      <c r="E102" s="189">
        <f t="shared" si="1"/>
        <v>4.25</v>
      </c>
      <c r="G102" s="6"/>
    </row>
    <row r="103" spans="1:7" ht="13.95" customHeight="1" x14ac:dyDescent="0.25">
      <c r="A103" s="190" t="s">
        <v>68</v>
      </c>
      <c r="B103" s="191" t="s">
        <v>47</v>
      </c>
      <c r="C103" s="222">
        <v>6</v>
      </c>
      <c r="D103" s="223">
        <v>70</v>
      </c>
      <c r="E103" s="189">
        <f t="shared" si="1"/>
        <v>11.666666666666666</v>
      </c>
      <c r="G103" s="6"/>
    </row>
    <row r="104" spans="1:7" ht="13.2" customHeight="1" x14ac:dyDescent="0.25">
      <c r="A104" s="190" t="s">
        <v>94</v>
      </c>
      <c r="B104" s="191" t="s">
        <v>47</v>
      </c>
      <c r="C104" s="222">
        <v>3</v>
      </c>
      <c r="D104" s="223">
        <v>17.899999999999999</v>
      </c>
      <c r="E104" s="189">
        <f t="shared" si="1"/>
        <v>5.9666666666666659</v>
      </c>
    </row>
    <row r="105" spans="1:7" x14ac:dyDescent="0.25">
      <c r="A105" s="190" t="s">
        <v>67</v>
      </c>
      <c r="B105" s="191" t="s">
        <v>9</v>
      </c>
      <c r="C105" s="222">
        <v>2</v>
      </c>
      <c r="D105" s="223">
        <v>35</v>
      </c>
      <c r="E105" s="189">
        <f t="shared" si="1"/>
        <v>17.5</v>
      </c>
    </row>
    <row r="106" spans="1:7" s="13" customFormat="1" x14ac:dyDescent="0.25">
      <c r="A106" s="98" t="s">
        <v>10</v>
      </c>
      <c r="B106" s="68" t="s">
        <v>9</v>
      </c>
      <c r="C106" s="222">
        <v>3</v>
      </c>
      <c r="D106" s="223">
        <v>30</v>
      </c>
      <c r="E106" s="189">
        <f t="shared" si="1"/>
        <v>10</v>
      </c>
      <c r="F106" s="224"/>
      <c r="G106" s="224"/>
    </row>
    <row r="107" spans="1:7" x14ac:dyDescent="0.25">
      <c r="A107" s="190" t="s">
        <v>31</v>
      </c>
      <c r="B107" s="191" t="s">
        <v>47</v>
      </c>
      <c r="C107" s="222">
        <v>0.2</v>
      </c>
      <c r="D107" s="223">
        <v>14.9</v>
      </c>
      <c r="E107" s="189">
        <f t="shared" si="1"/>
        <v>74.5</v>
      </c>
    </row>
    <row r="108" spans="1:7" ht="13.2" customHeight="1" x14ac:dyDescent="0.25">
      <c r="A108" s="190" t="s">
        <v>62</v>
      </c>
      <c r="B108" s="191" t="s">
        <v>48</v>
      </c>
      <c r="C108" s="222">
        <v>1</v>
      </c>
      <c r="D108" s="223">
        <v>18.2</v>
      </c>
      <c r="E108" s="189">
        <f t="shared" si="1"/>
        <v>18.2</v>
      </c>
    </row>
    <row r="109" spans="1:7" x14ac:dyDescent="0.25">
      <c r="A109" s="190" t="s">
        <v>198</v>
      </c>
      <c r="B109" s="191" t="s">
        <v>124</v>
      </c>
      <c r="C109" s="225">
        <v>1</v>
      </c>
      <c r="D109" s="223">
        <v>25</v>
      </c>
      <c r="E109" s="193">
        <f t="shared" ref="E109:E110" si="2">C109*D109</f>
        <v>25</v>
      </c>
    </row>
    <row r="110" spans="1:7" ht="14.4" thickBot="1" x14ac:dyDescent="0.3">
      <c r="A110" s="190" t="s">
        <v>5</v>
      </c>
      <c r="B110" s="191" t="s">
        <v>6</v>
      </c>
      <c r="C110" s="226">
        <f>E30</f>
        <v>3</v>
      </c>
      <c r="D110" s="193">
        <f>+SUM(E97:E109)</f>
        <v>229.25</v>
      </c>
      <c r="E110" s="193">
        <f t="shared" si="2"/>
        <v>687.75</v>
      </c>
    </row>
    <row r="111" spans="1:7" ht="14.4" thickBot="1" x14ac:dyDescent="0.3">
      <c r="D111" s="202" t="s">
        <v>195</v>
      </c>
      <c r="E111" s="203">
        <f>$B$38</f>
        <v>0.5</v>
      </c>
      <c r="F111" s="204">
        <f>E110*E111</f>
        <v>343.875</v>
      </c>
    </row>
    <row r="112" spans="1:7" ht="11.25" customHeight="1" x14ac:dyDescent="0.25"/>
    <row r="113" spans="1:7" ht="13.95" customHeight="1" x14ac:dyDescent="0.25">
      <c r="A113" s="6" t="s">
        <v>199</v>
      </c>
    </row>
    <row r="114" spans="1:7" ht="11.25" customHeight="1" thickBot="1" x14ac:dyDescent="0.3"/>
    <row r="115" spans="1:7" ht="28.2" thickBot="1" x14ac:dyDescent="0.3">
      <c r="A115" s="182" t="s">
        <v>63</v>
      </c>
      <c r="B115" s="183" t="s">
        <v>64</v>
      </c>
      <c r="C115" s="221" t="s">
        <v>248</v>
      </c>
      <c r="D115" s="184" t="s">
        <v>231</v>
      </c>
      <c r="E115" s="184" t="s">
        <v>65</v>
      </c>
      <c r="F115" s="185" t="s">
        <v>340</v>
      </c>
    </row>
    <row r="116" spans="1:7" x14ac:dyDescent="0.25">
      <c r="A116" s="186" t="s">
        <v>66</v>
      </c>
      <c r="B116" s="187" t="s">
        <v>9</v>
      </c>
      <c r="C116" s="222">
        <v>4</v>
      </c>
      <c r="D116" s="189">
        <f>+D97</f>
        <v>145</v>
      </c>
      <c r="E116" s="189">
        <f>IFERROR(D116/C116,0)</f>
        <v>36.25</v>
      </c>
    </row>
    <row r="117" spans="1:7" x14ac:dyDescent="0.25">
      <c r="A117" s="190" t="s">
        <v>28</v>
      </c>
      <c r="B117" s="191" t="s">
        <v>9</v>
      </c>
      <c r="C117" s="222">
        <v>4</v>
      </c>
      <c r="D117" s="193">
        <f>+D98</f>
        <v>70</v>
      </c>
      <c r="E117" s="189">
        <f t="shared" ref="E117:E121" si="3">IFERROR(D117/C117,0)</f>
        <v>17.5</v>
      </c>
    </row>
    <row r="118" spans="1:7" x14ac:dyDescent="0.25">
      <c r="A118" s="190" t="s">
        <v>29</v>
      </c>
      <c r="B118" s="191" t="s">
        <v>9</v>
      </c>
      <c r="C118" s="222">
        <v>4</v>
      </c>
      <c r="D118" s="193">
        <f>+D100</f>
        <v>26</v>
      </c>
      <c r="E118" s="189">
        <f t="shared" si="3"/>
        <v>6.5</v>
      </c>
    </row>
    <row r="119" spans="1:7" x14ac:dyDescent="0.25">
      <c r="A119" s="190" t="s">
        <v>68</v>
      </c>
      <c r="B119" s="191" t="s">
        <v>47</v>
      </c>
      <c r="C119" s="222">
        <v>3</v>
      </c>
      <c r="D119" s="193">
        <f>+D103</f>
        <v>70</v>
      </c>
      <c r="E119" s="189">
        <f t="shared" si="3"/>
        <v>23.333333333333332</v>
      </c>
    </row>
    <row r="120" spans="1:7" x14ac:dyDescent="0.25">
      <c r="A120" s="190" t="s">
        <v>67</v>
      </c>
      <c r="B120" s="191" t="s">
        <v>9</v>
      </c>
      <c r="C120" s="222">
        <v>2</v>
      </c>
      <c r="D120" s="193">
        <f>+D105</f>
        <v>35</v>
      </c>
      <c r="E120" s="189">
        <f t="shared" si="3"/>
        <v>17.5</v>
      </c>
      <c r="G120" s="6"/>
    </row>
    <row r="121" spans="1:7" x14ac:dyDescent="0.25">
      <c r="A121" s="190" t="s">
        <v>62</v>
      </c>
      <c r="B121" s="191" t="s">
        <v>48</v>
      </c>
      <c r="C121" s="222">
        <v>1</v>
      </c>
      <c r="D121" s="193">
        <f>+D108</f>
        <v>18.2</v>
      </c>
      <c r="E121" s="189">
        <f t="shared" si="3"/>
        <v>18.2</v>
      </c>
      <c r="G121" s="6"/>
    </row>
    <row r="122" spans="1:7" x14ac:dyDescent="0.25">
      <c r="A122" s="190" t="s">
        <v>198</v>
      </c>
      <c r="B122" s="191" t="s">
        <v>124</v>
      </c>
      <c r="C122" s="225">
        <v>1</v>
      </c>
      <c r="D122" s="223">
        <v>25</v>
      </c>
      <c r="E122" s="193">
        <f t="shared" ref="E122:E123" si="4">C122*D122</f>
        <v>25</v>
      </c>
      <c r="G122" s="6"/>
    </row>
    <row r="123" spans="1:7" ht="14.4" thickBot="1" x14ac:dyDescent="0.3">
      <c r="A123" s="190" t="s">
        <v>5</v>
      </c>
      <c r="B123" s="191" t="s">
        <v>6</v>
      </c>
      <c r="C123" s="226">
        <f>E31</f>
        <v>1</v>
      </c>
      <c r="D123" s="193">
        <f>+SUM(E116:E122)</f>
        <v>144.28333333333333</v>
      </c>
      <c r="E123" s="193">
        <f t="shared" si="4"/>
        <v>144.28333333333333</v>
      </c>
      <c r="G123" s="6"/>
    </row>
    <row r="124" spans="1:7" ht="14.4" thickBot="1" x14ac:dyDescent="0.3">
      <c r="D124" s="202" t="s">
        <v>195</v>
      </c>
      <c r="E124" s="203">
        <f>$B$38</f>
        <v>0.5</v>
      </c>
      <c r="F124" s="204">
        <f>E123*E124</f>
        <v>72.141666666666666</v>
      </c>
      <c r="G124" s="6"/>
    </row>
    <row r="125" spans="1:7" ht="11.25" customHeight="1" thickBot="1" x14ac:dyDescent="0.3">
      <c r="G125" s="6"/>
    </row>
    <row r="126" spans="1:7" ht="14.4" thickBot="1" x14ac:dyDescent="0.3">
      <c r="A126" s="218" t="s">
        <v>200</v>
      </c>
      <c r="B126" s="227"/>
      <c r="C126" s="227"/>
      <c r="D126" s="228"/>
      <c r="E126" s="229"/>
      <c r="F126" s="230">
        <f>+F111+F124</f>
        <v>416.01666666666665</v>
      </c>
      <c r="G126" s="6"/>
    </row>
    <row r="127" spans="1:7" ht="11.25" customHeight="1" x14ac:dyDescent="0.25">
      <c r="G127" s="6"/>
    </row>
    <row r="128" spans="1:7" x14ac:dyDescent="0.25">
      <c r="A128" s="140" t="s">
        <v>53</v>
      </c>
      <c r="G128" s="6"/>
    </row>
    <row r="129" spans="1:10" ht="11.25" customHeight="1" x14ac:dyDescent="0.25">
      <c r="B129" s="231"/>
      <c r="G129" s="6"/>
    </row>
    <row r="130" spans="1:10" x14ac:dyDescent="0.25">
      <c r="A130" s="6" t="s">
        <v>341</v>
      </c>
      <c r="G130" s="6"/>
    </row>
    <row r="131" spans="1:10" ht="11.25" customHeight="1" x14ac:dyDescent="0.25">
      <c r="G131" s="6"/>
    </row>
    <row r="132" spans="1:10" ht="14.4" thickBot="1" x14ac:dyDescent="0.3">
      <c r="A132" s="231" t="s">
        <v>45</v>
      </c>
      <c r="G132" s="6"/>
    </row>
    <row r="133" spans="1:10" ht="14.4" thickBot="1" x14ac:dyDescent="0.3">
      <c r="A133" s="182" t="s">
        <v>63</v>
      </c>
      <c r="B133" s="183" t="s">
        <v>64</v>
      </c>
      <c r="C133" s="183" t="s">
        <v>39</v>
      </c>
      <c r="D133" s="184" t="s">
        <v>231</v>
      </c>
      <c r="E133" s="184" t="s">
        <v>65</v>
      </c>
      <c r="F133" s="185" t="s">
        <v>340</v>
      </c>
      <c r="G133" s="6"/>
    </row>
    <row r="134" spans="1:10" x14ac:dyDescent="0.25">
      <c r="A134" s="186" t="s">
        <v>106</v>
      </c>
      <c r="B134" s="187" t="s">
        <v>9</v>
      </c>
      <c r="C134" s="232">
        <v>1</v>
      </c>
      <c r="D134" s="223">
        <v>400000</v>
      </c>
      <c r="E134" s="189">
        <f>C134*D134</f>
        <v>400000</v>
      </c>
      <c r="G134" s="6"/>
    </row>
    <row r="135" spans="1:10" x14ac:dyDescent="0.25">
      <c r="A135" s="190" t="s">
        <v>100</v>
      </c>
      <c r="B135" s="191" t="s">
        <v>101</v>
      </c>
      <c r="C135" s="206">
        <v>10</v>
      </c>
      <c r="D135" s="195"/>
      <c r="E135" s="193"/>
      <c r="G135" s="6"/>
    </row>
    <row r="136" spans="1:10" x14ac:dyDescent="0.25">
      <c r="A136" s="190" t="s">
        <v>206</v>
      </c>
      <c r="B136" s="191" t="s">
        <v>101</v>
      </c>
      <c r="C136" s="206">
        <v>0</v>
      </c>
      <c r="D136" s="193"/>
      <c r="E136" s="193"/>
      <c r="F136" s="233"/>
      <c r="I136" s="234"/>
      <c r="J136" s="234"/>
    </row>
    <row r="137" spans="1:10" x14ac:dyDescent="0.25">
      <c r="A137" s="190" t="s">
        <v>104</v>
      </c>
      <c r="B137" s="191" t="s">
        <v>2</v>
      </c>
      <c r="C137" s="200">
        <f>IFERROR(VLOOKUP(C135,'5. Depreciação'!A3:B17,2,FALSE),0)</f>
        <v>65.180000000000007</v>
      </c>
      <c r="D137" s="193">
        <f>E134</f>
        <v>400000</v>
      </c>
      <c r="E137" s="193">
        <f>C137*D137/100</f>
        <v>260720.00000000003</v>
      </c>
    </row>
    <row r="138" spans="1:10" ht="14.4" thickBot="1" x14ac:dyDescent="0.3">
      <c r="A138" s="235" t="s">
        <v>49</v>
      </c>
      <c r="B138" s="236" t="s">
        <v>7</v>
      </c>
      <c r="C138" s="236">
        <f>C135*12</f>
        <v>120</v>
      </c>
      <c r="D138" s="237">
        <f>E137</f>
        <v>260720.00000000003</v>
      </c>
      <c r="E138" s="237">
        <f>IFERROR(D138/C138,0)</f>
        <v>2172.666666666667</v>
      </c>
    </row>
    <row r="139" spans="1:10" ht="14.4" thickTop="1" x14ac:dyDescent="0.25">
      <c r="A139" s="186" t="s">
        <v>105</v>
      </c>
      <c r="B139" s="187" t="s">
        <v>9</v>
      </c>
      <c r="C139" s="187">
        <f>C134</f>
        <v>1</v>
      </c>
      <c r="D139" s="223">
        <v>95000</v>
      </c>
      <c r="E139" s="189">
        <f>C139*D139</f>
        <v>95000</v>
      </c>
      <c r="G139" s="6"/>
    </row>
    <row r="140" spans="1:10" x14ac:dyDescent="0.25">
      <c r="A140" s="190" t="s">
        <v>102</v>
      </c>
      <c r="B140" s="191" t="s">
        <v>101</v>
      </c>
      <c r="C140" s="206">
        <v>10</v>
      </c>
      <c r="D140" s="193"/>
      <c r="E140" s="193"/>
    </row>
    <row r="141" spans="1:10" x14ac:dyDescent="0.25">
      <c r="A141" s="190" t="s">
        <v>207</v>
      </c>
      <c r="B141" s="191" t="s">
        <v>101</v>
      </c>
      <c r="C141" s="206">
        <v>0</v>
      </c>
      <c r="D141" s="193"/>
      <c r="E141" s="193"/>
      <c r="F141" s="233"/>
      <c r="I141" s="234"/>
      <c r="J141" s="234"/>
    </row>
    <row r="142" spans="1:10" x14ac:dyDescent="0.25">
      <c r="A142" s="190" t="s">
        <v>103</v>
      </c>
      <c r="B142" s="191" t="s">
        <v>2</v>
      </c>
      <c r="C142" s="238">
        <f>IFERROR(VLOOKUP(C140,'5. Depreciação'!A3:B17,2,FALSE),0)</f>
        <v>65.180000000000007</v>
      </c>
      <c r="D142" s="193">
        <f>E139</f>
        <v>95000</v>
      </c>
      <c r="E142" s="193">
        <f>C142*D142/100</f>
        <v>61921.000000000007</v>
      </c>
    </row>
    <row r="143" spans="1:10" x14ac:dyDescent="0.25">
      <c r="A143" s="207" t="s">
        <v>107</v>
      </c>
      <c r="B143" s="239" t="s">
        <v>7</v>
      </c>
      <c r="C143" s="239">
        <f>C140*12</f>
        <v>120</v>
      </c>
      <c r="D143" s="208">
        <f>IF(C141&lt;=C140,E142,0)</f>
        <v>61921.000000000007</v>
      </c>
      <c r="E143" s="208">
        <f>IFERROR(D143/C143,0)</f>
        <v>516.00833333333344</v>
      </c>
    </row>
    <row r="144" spans="1:10" x14ac:dyDescent="0.25">
      <c r="A144" s="207" t="s">
        <v>291</v>
      </c>
      <c r="B144" s="239" t="s">
        <v>7</v>
      </c>
      <c r="C144" s="239">
        <v>1</v>
      </c>
      <c r="D144" s="208">
        <f>IF(C142&lt;=C141,E143,0)</f>
        <v>0</v>
      </c>
      <c r="E144" s="199">
        <f>(E138+E143)*0.1</f>
        <v>268.86750000000001</v>
      </c>
    </row>
    <row r="145" spans="1:10" x14ac:dyDescent="0.25">
      <c r="A145" s="196" t="s">
        <v>251</v>
      </c>
      <c r="B145" s="197"/>
      <c r="C145" s="197"/>
      <c r="D145" s="198"/>
      <c r="E145" s="199">
        <f>E138+E143</f>
        <v>2688.6750000000002</v>
      </c>
    </row>
    <row r="146" spans="1:10" ht="14.4" thickBot="1" x14ac:dyDescent="0.3">
      <c r="A146" s="207" t="s">
        <v>252</v>
      </c>
      <c r="B146" s="239" t="s">
        <v>9</v>
      </c>
      <c r="C146" s="206">
        <v>1</v>
      </c>
      <c r="D146" s="208">
        <f>E145</f>
        <v>2688.6750000000002</v>
      </c>
      <c r="E146" s="199">
        <f>C146*D146</f>
        <v>2688.6750000000002</v>
      </c>
    </row>
    <row r="147" spans="1:10" ht="14.4" thickBot="1" x14ac:dyDescent="0.3">
      <c r="A147" s="240"/>
      <c r="B147" s="240"/>
      <c r="C147" s="240"/>
      <c r="D147" s="202" t="s">
        <v>195</v>
      </c>
      <c r="E147" s="203">
        <f>$B$38</f>
        <v>0.5</v>
      </c>
      <c r="F147" s="230">
        <f>E146*E147</f>
        <v>1344.3375000000001</v>
      </c>
    </row>
    <row r="148" spans="1:10" ht="11.25" customHeight="1" x14ac:dyDescent="0.25"/>
    <row r="149" spans="1:10" ht="14.4" thickBot="1" x14ac:dyDescent="0.3">
      <c r="A149" s="231" t="s">
        <v>112</v>
      </c>
    </row>
    <row r="150" spans="1:10" ht="14.4" thickBot="1" x14ac:dyDescent="0.3">
      <c r="A150" s="241" t="s">
        <v>63</v>
      </c>
      <c r="B150" s="242" t="s">
        <v>64</v>
      </c>
      <c r="C150" s="242" t="s">
        <v>39</v>
      </c>
      <c r="D150" s="184" t="s">
        <v>231</v>
      </c>
      <c r="E150" s="243" t="s">
        <v>65</v>
      </c>
      <c r="F150" s="185" t="s">
        <v>340</v>
      </c>
      <c r="I150" s="234"/>
      <c r="J150" s="234"/>
    </row>
    <row r="151" spans="1:10" x14ac:dyDescent="0.25">
      <c r="A151" s="190" t="s">
        <v>110</v>
      </c>
      <c r="B151" s="191" t="s">
        <v>9</v>
      </c>
      <c r="C151" s="232">
        <v>1</v>
      </c>
      <c r="D151" s="193">
        <f>D134</f>
        <v>400000</v>
      </c>
      <c r="E151" s="193">
        <f>C151*D151</f>
        <v>400000</v>
      </c>
      <c r="F151" s="233"/>
      <c r="I151" s="234"/>
      <c r="J151" s="234"/>
    </row>
    <row r="152" spans="1:10" x14ac:dyDescent="0.25">
      <c r="A152" s="190" t="s">
        <v>210</v>
      </c>
      <c r="B152" s="191" t="s">
        <v>2</v>
      </c>
      <c r="C152" s="201">
        <v>12.75</v>
      </c>
      <c r="D152" s="193"/>
      <c r="E152" s="193"/>
      <c r="F152" s="233"/>
      <c r="I152" s="234"/>
      <c r="J152" s="234"/>
    </row>
    <row r="153" spans="1:10" x14ac:dyDescent="0.25">
      <c r="A153" s="190" t="s">
        <v>208</v>
      </c>
      <c r="B153" s="191" t="s">
        <v>32</v>
      </c>
      <c r="C153" s="244">
        <f>IFERROR(IF(C136&lt;=C135,E134-(C137/(100*C135)*C136)*E134,E134-E137),0)</f>
        <v>400000</v>
      </c>
      <c r="D153" s="193"/>
      <c r="E153" s="193"/>
      <c r="F153" s="233"/>
      <c r="I153" s="234"/>
      <c r="J153" s="234"/>
    </row>
    <row r="154" spans="1:10" x14ac:dyDescent="0.25">
      <c r="A154" s="190" t="s">
        <v>115</v>
      </c>
      <c r="B154" s="191" t="s">
        <v>32</v>
      </c>
      <c r="C154" s="195">
        <f>IFERROR(IF(C136&gt;=C135,C153,((((C153)-(E134-E137))*(((C135-C136)+1)/(2*(C135-C136))))+(E134-E137))),0)</f>
        <v>282676</v>
      </c>
      <c r="D154" s="193"/>
      <c r="E154" s="193"/>
      <c r="F154" s="233"/>
      <c r="I154" s="234"/>
      <c r="J154" s="234"/>
    </row>
    <row r="155" spans="1:10" ht="14.4" thickBot="1" x14ac:dyDescent="0.3">
      <c r="A155" s="235" t="s">
        <v>116</v>
      </c>
      <c r="B155" s="236" t="s">
        <v>32</v>
      </c>
      <c r="C155" s="236"/>
      <c r="D155" s="245">
        <f>C152*C154/12/100</f>
        <v>3003.4324999999999</v>
      </c>
      <c r="E155" s="237">
        <f>D155</f>
        <v>3003.4324999999999</v>
      </c>
      <c r="F155" s="233"/>
      <c r="I155" s="234"/>
      <c r="J155" s="234"/>
    </row>
    <row r="156" spans="1:10" ht="14.4" thickTop="1" x14ac:dyDescent="0.25">
      <c r="A156" s="186" t="s">
        <v>111</v>
      </c>
      <c r="B156" s="187" t="s">
        <v>9</v>
      </c>
      <c r="C156" s="187">
        <f>C139</f>
        <v>1</v>
      </c>
      <c r="D156" s="189">
        <f>D139</f>
        <v>95000</v>
      </c>
      <c r="E156" s="189">
        <f>C156*D156</f>
        <v>95000</v>
      </c>
      <c r="F156" s="233"/>
      <c r="I156" s="234"/>
      <c r="J156" s="234"/>
    </row>
    <row r="157" spans="1:10" x14ac:dyDescent="0.25">
      <c r="A157" s="190" t="s">
        <v>210</v>
      </c>
      <c r="B157" s="191" t="s">
        <v>2</v>
      </c>
      <c r="C157" s="117">
        <f>C152</f>
        <v>12.75</v>
      </c>
      <c r="D157" s="193"/>
      <c r="E157" s="193"/>
      <c r="F157" s="233"/>
      <c r="I157" s="234"/>
      <c r="J157" s="234"/>
    </row>
    <row r="158" spans="1:10" x14ac:dyDescent="0.25">
      <c r="A158" s="190" t="s">
        <v>209</v>
      </c>
      <c r="B158" s="191" t="s">
        <v>32</v>
      </c>
      <c r="C158" s="244">
        <f>IFERROR(IF(C141&lt;=C140,E139-(C142/(100*C140)*C141)*E139,E139-E142),0)</f>
        <v>95000</v>
      </c>
      <c r="D158" s="193"/>
      <c r="E158" s="193"/>
      <c r="F158" s="233"/>
      <c r="I158" s="234"/>
      <c r="J158" s="234"/>
    </row>
    <row r="159" spans="1:10" x14ac:dyDescent="0.25">
      <c r="A159" s="190" t="s">
        <v>117</v>
      </c>
      <c r="B159" s="191" t="s">
        <v>32</v>
      </c>
      <c r="C159" s="195">
        <f>IFERROR(IF(C141&gt;=C140,C158,((((C158)-(E139-E142))*(((C140-C141)+1)/(2*(C140-C141))))+(E139-E142))),0)</f>
        <v>67135.55</v>
      </c>
      <c r="D159" s="193"/>
      <c r="E159" s="193"/>
      <c r="F159" s="233"/>
      <c r="I159" s="234"/>
      <c r="J159" s="234"/>
    </row>
    <row r="160" spans="1:10" x14ac:dyDescent="0.25">
      <c r="A160" s="207" t="s">
        <v>114</v>
      </c>
      <c r="B160" s="239" t="s">
        <v>32</v>
      </c>
      <c r="C160" s="239"/>
      <c r="D160" s="246">
        <f>C157*C159/12/100</f>
        <v>713.3152187500001</v>
      </c>
      <c r="E160" s="208">
        <f>D160</f>
        <v>713.3152187500001</v>
      </c>
      <c r="F160" s="233"/>
      <c r="I160" s="234"/>
      <c r="J160" s="234"/>
    </row>
    <row r="161" spans="1:10" x14ac:dyDescent="0.25">
      <c r="A161" s="207" t="s">
        <v>291</v>
      </c>
      <c r="B161" s="239" t="s">
        <v>7</v>
      </c>
      <c r="C161" s="239">
        <v>1</v>
      </c>
      <c r="D161" s="247" t="s">
        <v>290</v>
      </c>
      <c r="E161" s="199">
        <f>(E155+E160)*0.1</f>
        <v>371.67477187500003</v>
      </c>
      <c r="F161" s="233"/>
      <c r="I161" s="234"/>
      <c r="J161" s="234"/>
    </row>
    <row r="162" spans="1:10" x14ac:dyDescent="0.25">
      <c r="A162" s="196" t="s">
        <v>251</v>
      </c>
      <c r="B162" s="197"/>
      <c r="C162" s="197"/>
      <c r="D162" s="198"/>
      <c r="E162" s="199">
        <f>E155+E160</f>
        <v>3716.7477187499999</v>
      </c>
      <c r="F162" s="233"/>
      <c r="I162" s="234"/>
      <c r="J162" s="234"/>
    </row>
    <row r="163" spans="1:10" ht="14.4" thickBot="1" x14ac:dyDescent="0.3">
      <c r="A163" s="207" t="s">
        <v>252</v>
      </c>
      <c r="B163" s="239" t="s">
        <v>9</v>
      </c>
      <c r="C163" s="117">
        <f>C146</f>
        <v>1</v>
      </c>
      <c r="D163" s="208">
        <f>E162</f>
        <v>3716.7477187499999</v>
      </c>
      <c r="E163" s="199">
        <f>C163*D163</f>
        <v>3716.7477187499999</v>
      </c>
      <c r="F163" s="233"/>
      <c r="I163" s="234"/>
      <c r="J163" s="234"/>
    </row>
    <row r="164" spans="1:10" ht="14.4" thickBot="1" x14ac:dyDescent="0.3">
      <c r="C164" s="248"/>
      <c r="D164" s="202" t="s">
        <v>195</v>
      </c>
      <c r="E164" s="203">
        <f>$B$38</f>
        <v>0.5</v>
      </c>
      <c r="F164" s="230">
        <f>E163*E164</f>
        <v>1858.3738593749999</v>
      </c>
      <c r="I164" s="234"/>
      <c r="J164" s="234"/>
    </row>
    <row r="165" spans="1:10" ht="11.25" customHeight="1" x14ac:dyDescent="0.25">
      <c r="I165" s="234"/>
      <c r="J165" s="234"/>
    </row>
    <row r="166" spans="1:10" ht="14.4" thickBot="1" x14ac:dyDescent="0.3">
      <c r="A166" s="6" t="s">
        <v>50</v>
      </c>
      <c r="I166" s="234"/>
      <c r="J166" s="234"/>
    </row>
    <row r="167" spans="1:10" ht="14.4" thickBot="1" x14ac:dyDescent="0.3">
      <c r="A167" s="182" t="s">
        <v>63</v>
      </c>
      <c r="B167" s="183" t="s">
        <v>64</v>
      </c>
      <c r="C167" s="183" t="s">
        <v>39</v>
      </c>
      <c r="D167" s="184" t="s">
        <v>231</v>
      </c>
      <c r="E167" s="184" t="s">
        <v>65</v>
      </c>
      <c r="F167" s="185" t="s">
        <v>340</v>
      </c>
      <c r="I167" s="234"/>
      <c r="J167" s="234"/>
    </row>
    <row r="168" spans="1:10" x14ac:dyDescent="0.25">
      <c r="A168" s="186" t="s">
        <v>11</v>
      </c>
      <c r="B168" s="187" t="s">
        <v>9</v>
      </c>
      <c r="C168" s="189">
        <f>C146</f>
        <v>1</v>
      </c>
      <c r="D168" s="189">
        <f>0.01*($E$134)</f>
        <v>4000</v>
      </c>
      <c r="E168" s="189">
        <f>C168*D168</f>
        <v>4000</v>
      </c>
      <c r="I168" s="234"/>
      <c r="J168" s="234"/>
    </row>
    <row r="169" spans="1:10" x14ac:dyDescent="0.25">
      <c r="A169" s="190" t="s">
        <v>194</v>
      </c>
      <c r="B169" s="191" t="s">
        <v>9</v>
      </c>
      <c r="C169" s="189">
        <f>C146</f>
        <v>1</v>
      </c>
      <c r="D169" s="249">
        <v>94.1</v>
      </c>
      <c r="E169" s="193">
        <f>C169*D169</f>
        <v>94.1</v>
      </c>
      <c r="I169" s="234"/>
      <c r="J169" s="234"/>
    </row>
    <row r="170" spans="1:10" x14ac:dyDescent="0.25">
      <c r="A170" s="190" t="s">
        <v>12</v>
      </c>
      <c r="B170" s="191" t="s">
        <v>9</v>
      </c>
      <c r="C170" s="189">
        <f>C146</f>
        <v>1</v>
      </c>
      <c r="D170" s="249">
        <v>3850</v>
      </c>
      <c r="E170" s="193">
        <f>C170*D170</f>
        <v>3850</v>
      </c>
      <c r="F170" s="250"/>
      <c r="I170" s="234"/>
      <c r="J170" s="234"/>
    </row>
    <row r="171" spans="1:10" ht="14.4" thickBot="1" x14ac:dyDescent="0.3">
      <c r="A171" s="207" t="s">
        <v>13</v>
      </c>
      <c r="B171" s="239" t="s">
        <v>7</v>
      </c>
      <c r="C171" s="239">
        <v>12</v>
      </c>
      <c r="D171" s="208">
        <f>SUM(E168:E170)</f>
        <v>7944.1</v>
      </c>
      <c r="E171" s="208">
        <f>D171/C171</f>
        <v>662.00833333333333</v>
      </c>
      <c r="I171" s="234"/>
      <c r="J171" s="234"/>
    </row>
    <row r="172" spans="1:10" ht="14.4" thickBot="1" x14ac:dyDescent="0.3">
      <c r="D172" s="202" t="s">
        <v>195</v>
      </c>
      <c r="E172" s="203">
        <f>$B$38</f>
        <v>0.5</v>
      </c>
      <c r="F172" s="204">
        <f>E171*E172</f>
        <v>331.00416666666666</v>
      </c>
      <c r="I172" s="234"/>
      <c r="J172" s="234"/>
    </row>
    <row r="173" spans="1:10" ht="11.25" customHeight="1" x14ac:dyDescent="0.25">
      <c r="I173" s="234"/>
      <c r="J173" s="234"/>
    </row>
    <row r="174" spans="1:10" x14ac:dyDescent="0.25">
      <c r="A174" s="6" t="s">
        <v>51</v>
      </c>
      <c r="B174" s="251"/>
      <c r="I174" s="234"/>
      <c r="J174" s="234"/>
    </row>
    <row r="175" spans="1:10" x14ac:dyDescent="0.25">
      <c r="B175" s="251"/>
      <c r="I175" s="234"/>
      <c r="J175" s="234"/>
    </row>
    <row r="176" spans="1:10" x14ac:dyDescent="0.25">
      <c r="A176" s="207" t="s">
        <v>119</v>
      </c>
      <c r="B176" s="252">
        <f>'8. Roteiros'!D26</f>
        <v>1618.56</v>
      </c>
      <c r="I176" s="234"/>
      <c r="J176" s="234"/>
    </row>
    <row r="177" spans="1:10" ht="14.4" thickBot="1" x14ac:dyDescent="0.3">
      <c r="B177" s="251"/>
      <c r="I177" s="234"/>
      <c r="J177" s="234"/>
    </row>
    <row r="178" spans="1:10" ht="14.4" thickBot="1" x14ac:dyDescent="0.3">
      <c r="A178" s="182" t="s">
        <v>63</v>
      </c>
      <c r="B178" s="183" t="s">
        <v>64</v>
      </c>
      <c r="C178" s="183" t="s">
        <v>250</v>
      </c>
      <c r="D178" s="184" t="s">
        <v>231</v>
      </c>
      <c r="E178" s="184" t="s">
        <v>65</v>
      </c>
      <c r="F178" s="185" t="s">
        <v>340</v>
      </c>
      <c r="I178" s="234"/>
      <c r="J178" s="234"/>
    </row>
    <row r="179" spans="1:10" x14ac:dyDescent="0.25">
      <c r="A179" s="186" t="s">
        <v>14</v>
      </c>
      <c r="B179" s="187" t="s">
        <v>15</v>
      </c>
      <c r="C179" s="253">
        <v>2.2000000000000002</v>
      </c>
      <c r="D179" s="254">
        <v>5.8</v>
      </c>
      <c r="E179" s="189"/>
      <c r="I179" s="234"/>
      <c r="J179" s="234"/>
    </row>
    <row r="180" spans="1:10" x14ac:dyDescent="0.25">
      <c r="A180" s="190" t="s">
        <v>16</v>
      </c>
      <c r="B180" s="191" t="s">
        <v>17</v>
      </c>
      <c r="C180" s="212">
        <f>B176</f>
        <v>1618.56</v>
      </c>
      <c r="D180" s="255">
        <f>IFERROR(+D179/C179,"-")</f>
        <v>2.6363636363636362</v>
      </c>
      <c r="E180" s="193">
        <f>IFERROR(C180*D180,"-")</f>
        <v>4267.1127272727272</v>
      </c>
      <c r="I180" s="234"/>
      <c r="J180" s="234"/>
    </row>
    <row r="181" spans="1:10" x14ac:dyDescent="0.25">
      <c r="A181" s="190" t="s">
        <v>232</v>
      </c>
      <c r="B181" s="191" t="s">
        <v>18</v>
      </c>
      <c r="C181" s="256">
        <v>1.33</v>
      </c>
      <c r="D181" s="249">
        <v>20</v>
      </c>
      <c r="E181" s="193"/>
      <c r="G181" s="257"/>
      <c r="H181" s="11"/>
      <c r="I181" s="234"/>
      <c r="J181" s="234"/>
    </row>
    <row r="182" spans="1:10" x14ac:dyDescent="0.25">
      <c r="A182" s="190" t="s">
        <v>19</v>
      </c>
      <c r="B182" s="191" t="s">
        <v>17</v>
      </c>
      <c r="C182" s="212">
        <f>C180</f>
        <v>1618.56</v>
      </c>
      <c r="D182" s="258">
        <f>+C181*D181/1000</f>
        <v>2.6600000000000002E-2</v>
      </c>
      <c r="E182" s="193">
        <f>C182*D182</f>
        <v>43.053696000000002</v>
      </c>
      <c r="G182" s="257"/>
      <c r="H182" s="11"/>
      <c r="I182" s="234"/>
      <c r="J182" s="234"/>
    </row>
    <row r="183" spans="1:10" x14ac:dyDescent="0.25">
      <c r="A183" s="190" t="s">
        <v>233</v>
      </c>
      <c r="B183" s="191" t="s">
        <v>18</v>
      </c>
      <c r="C183" s="256">
        <v>0.18</v>
      </c>
      <c r="D183" s="249">
        <v>23.5</v>
      </c>
      <c r="E183" s="193"/>
      <c r="G183" s="257"/>
      <c r="H183" s="11"/>
      <c r="I183" s="234"/>
      <c r="J183" s="234"/>
    </row>
    <row r="184" spans="1:10" x14ac:dyDescent="0.25">
      <c r="A184" s="190" t="s">
        <v>20</v>
      </c>
      <c r="B184" s="191" t="s">
        <v>17</v>
      </c>
      <c r="C184" s="212">
        <f>C180</f>
        <v>1618.56</v>
      </c>
      <c r="D184" s="258">
        <f>+C183*D183/1000</f>
        <v>4.2299999999999994E-3</v>
      </c>
      <c r="E184" s="193">
        <f>C184*D184</f>
        <v>6.8465087999999987</v>
      </c>
      <c r="G184" s="257"/>
      <c r="H184" s="11"/>
      <c r="I184" s="234"/>
      <c r="J184" s="234"/>
    </row>
    <row r="185" spans="1:10" x14ac:dyDescent="0.25">
      <c r="A185" s="190" t="s">
        <v>234</v>
      </c>
      <c r="B185" s="191" t="s">
        <v>18</v>
      </c>
      <c r="C185" s="256">
        <v>3</v>
      </c>
      <c r="D185" s="249">
        <v>21</v>
      </c>
      <c r="E185" s="193"/>
      <c r="G185" s="257"/>
      <c r="H185" s="11"/>
      <c r="I185" s="234"/>
      <c r="J185" s="234"/>
    </row>
    <row r="186" spans="1:10" x14ac:dyDescent="0.25">
      <c r="A186" s="190" t="s">
        <v>21</v>
      </c>
      <c r="B186" s="191" t="s">
        <v>17</v>
      </c>
      <c r="C186" s="212">
        <f>C180</f>
        <v>1618.56</v>
      </c>
      <c r="D186" s="258">
        <f>+C185*D185/1000</f>
        <v>6.3E-2</v>
      </c>
      <c r="E186" s="193">
        <f>C186*D186</f>
        <v>101.96928</v>
      </c>
      <c r="G186" s="257"/>
      <c r="H186" s="11"/>
      <c r="I186" s="234"/>
      <c r="J186" s="234"/>
    </row>
    <row r="187" spans="1:10" x14ac:dyDescent="0.25">
      <c r="A187" s="190" t="s">
        <v>22</v>
      </c>
      <c r="B187" s="191" t="s">
        <v>23</v>
      </c>
      <c r="C187" s="256">
        <v>1</v>
      </c>
      <c r="D187" s="249">
        <v>19</v>
      </c>
      <c r="E187" s="193"/>
      <c r="G187" s="257"/>
      <c r="H187" s="11"/>
      <c r="I187" s="234"/>
      <c r="J187" s="234"/>
    </row>
    <row r="188" spans="1:10" x14ac:dyDescent="0.25">
      <c r="A188" s="190" t="s">
        <v>24</v>
      </c>
      <c r="B188" s="191" t="s">
        <v>17</v>
      </c>
      <c r="C188" s="212">
        <f>C180</f>
        <v>1618.56</v>
      </c>
      <c r="D188" s="258">
        <f>+C187*D187/1000</f>
        <v>1.9E-2</v>
      </c>
      <c r="E188" s="193">
        <f>C188*D188</f>
        <v>30.75264</v>
      </c>
      <c r="G188" s="257"/>
      <c r="H188" s="11"/>
      <c r="I188" s="234"/>
      <c r="J188" s="234"/>
    </row>
    <row r="189" spans="1:10" ht="14.4" thickBot="1" x14ac:dyDescent="0.3">
      <c r="A189" s="207" t="s">
        <v>249</v>
      </c>
      <c r="B189" s="239" t="s">
        <v>120</v>
      </c>
      <c r="C189" s="259"/>
      <c r="D189" s="260">
        <f>IFERROR(D180+D182+D184+D186+D188,0)</f>
        <v>2.7491936363636369</v>
      </c>
      <c r="E189" s="193"/>
      <c r="G189" s="257"/>
      <c r="H189" s="11"/>
      <c r="I189" s="234"/>
      <c r="J189" s="234"/>
    </row>
    <row r="190" spans="1:10" ht="14.4" thickBot="1" x14ac:dyDescent="0.3">
      <c r="F190" s="230">
        <f>SUM(E179:E188)</f>
        <v>4449.7348520727273</v>
      </c>
      <c r="I190" s="234"/>
      <c r="J190" s="234"/>
    </row>
    <row r="191" spans="1:10" ht="11.25" customHeight="1" x14ac:dyDescent="0.25">
      <c r="I191" s="234"/>
      <c r="J191" s="234"/>
    </row>
    <row r="192" spans="1:10" ht="14.4" thickBot="1" x14ac:dyDescent="0.3">
      <c r="A192" s="6" t="s">
        <v>52</v>
      </c>
      <c r="I192" s="234"/>
      <c r="J192" s="234"/>
    </row>
    <row r="193" spans="1:10" ht="14.4" thickBot="1" x14ac:dyDescent="0.3">
      <c r="A193" s="182" t="s">
        <v>63</v>
      </c>
      <c r="B193" s="183" t="s">
        <v>64</v>
      </c>
      <c r="C193" s="183" t="s">
        <v>39</v>
      </c>
      <c r="D193" s="184" t="s">
        <v>231</v>
      </c>
      <c r="E193" s="184" t="s">
        <v>65</v>
      </c>
      <c r="F193" s="185" t="s">
        <v>340</v>
      </c>
      <c r="I193" s="234"/>
      <c r="J193" s="234"/>
    </row>
    <row r="194" spans="1:10" ht="14.4" thickBot="1" x14ac:dyDescent="0.3">
      <c r="A194" s="186" t="s">
        <v>118</v>
      </c>
      <c r="B194" s="187" t="s">
        <v>120</v>
      </c>
      <c r="C194" s="212">
        <f>C180</f>
        <v>1618.56</v>
      </c>
      <c r="D194" s="223">
        <v>0.74</v>
      </c>
      <c r="E194" s="189">
        <f>C194*D194</f>
        <v>1197.7344000000001</v>
      </c>
      <c r="I194" s="234"/>
      <c r="J194" s="234"/>
    </row>
    <row r="195" spans="1:10" ht="14.4" thickBot="1" x14ac:dyDescent="0.3">
      <c r="F195" s="230">
        <f>E194</f>
        <v>1197.7344000000001</v>
      </c>
      <c r="I195" s="234"/>
      <c r="J195" s="234"/>
    </row>
    <row r="196" spans="1:10" ht="11.25" customHeight="1" x14ac:dyDescent="0.25">
      <c r="I196" s="234"/>
      <c r="J196" s="234"/>
    </row>
    <row r="197" spans="1:10" ht="14.4" thickBot="1" x14ac:dyDescent="0.3">
      <c r="A197" s="6" t="s">
        <v>61</v>
      </c>
      <c r="I197" s="234"/>
      <c r="J197" s="234"/>
    </row>
    <row r="198" spans="1:10" ht="14.4" thickBot="1" x14ac:dyDescent="0.3">
      <c r="A198" s="182" t="s">
        <v>63</v>
      </c>
      <c r="B198" s="183" t="s">
        <v>64</v>
      </c>
      <c r="C198" s="183" t="s">
        <v>39</v>
      </c>
      <c r="D198" s="184" t="s">
        <v>231</v>
      </c>
      <c r="E198" s="184" t="s">
        <v>65</v>
      </c>
      <c r="F198" s="185" t="s">
        <v>340</v>
      </c>
      <c r="I198" s="234"/>
      <c r="J198" s="234"/>
    </row>
    <row r="199" spans="1:10" x14ac:dyDescent="0.25">
      <c r="A199" s="186" t="s">
        <v>95</v>
      </c>
      <c r="B199" s="187" t="s">
        <v>9</v>
      </c>
      <c r="C199" s="261">
        <v>6</v>
      </c>
      <c r="D199" s="223">
        <v>2079</v>
      </c>
      <c r="E199" s="189">
        <f>C199*D199</f>
        <v>12474</v>
      </c>
      <c r="I199" s="234"/>
      <c r="J199" s="234"/>
    </row>
    <row r="200" spans="1:10" x14ac:dyDescent="0.25">
      <c r="A200" s="186" t="s">
        <v>121</v>
      </c>
      <c r="B200" s="187" t="s">
        <v>9</v>
      </c>
      <c r="C200" s="261">
        <v>2</v>
      </c>
      <c r="D200" s="262"/>
      <c r="E200" s="189"/>
      <c r="I200" s="234"/>
      <c r="J200" s="234"/>
    </row>
    <row r="201" spans="1:10" x14ac:dyDescent="0.25">
      <c r="A201" s="186" t="s">
        <v>69</v>
      </c>
      <c r="B201" s="187" t="s">
        <v>9</v>
      </c>
      <c r="C201" s="189">
        <f>C199*C200</f>
        <v>12</v>
      </c>
      <c r="D201" s="223">
        <v>750</v>
      </c>
      <c r="E201" s="189">
        <f>C201*D201</f>
        <v>9000</v>
      </c>
      <c r="I201" s="234"/>
      <c r="J201" s="234"/>
    </row>
    <row r="202" spans="1:10" x14ac:dyDescent="0.25">
      <c r="A202" s="190" t="s">
        <v>342</v>
      </c>
      <c r="B202" s="191" t="s">
        <v>25</v>
      </c>
      <c r="C202" s="263">
        <v>75000</v>
      </c>
      <c r="D202" s="193">
        <f>E199+E201</f>
        <v>21474</v>
      </c>
      <c r="E202" s="193">
        <f>IFERROR(D202/C202,"-")</f>
        <v>0.28632000000000002</v>
      </c>
      <c r="I202" s="234"/>
      <c r="J202" s="234"/>
    </row>
    <row r="203" spans="1:10" ht="14.4" thickBot="1" x14ac:dyDescent="0.3">
      <c r="A203" s="190" t="s">
        <v>54</v>
      </c>
      <c r="B203" s="191" t="s">
        <v>17</v>
      </c>
      <c r="C203" s="212">
        <f>B176</f>
        <v>1618.56</v>
      </c>
      <c r="D203" s="193">
        <f>E202</f>
        <v>0.28632000000000002</v>
      </c>
      <c r="E203" s="193">
        <f>IFERROR(C203*D203,0)</f>
        <v>463.42609920000001</v>
      </c>
      <c r="I203" s="234"/>
      <c r="J203" s="234"/>
    </row>
    <row r="204" spans="1:10" ht="14.4" thickBot="1" x14ac:dyDescent="0.3">
      <c r="F204" s="230">
        <f>E203</f>
        <v>463.42609920000001</v>
      </c>
      <c r="I204" s="234"/>
      <c r="J204" s="234"/>
    </row>
    <row r="205" spans="1:10" ht="11.25" customHeight="1" x14ac:dyDescent="0.25">
      <c r="I205" s="234"/>
      <c r="J205" s="234"/>
    </row>
    <row r="206" spans="1:10" ht="11.25" customHeight="1" thickBot="1" x14ac:dyDescent="0.3">
      <c r="G206" s="6"/>
    </row>
    <row r="207" spans="1:10" ht="14.4" thickBot="1" x14ac:dyDescent="0.3">
      <c r="A207" s="218" t="s">
        <v>221</v>
      </c>
      <c r="B207" s="219"/>
      <c r="C207" s="219"/>
      <c r="D207" s="153"/>
      <c r="E207" s="220"/>
      <c r="F207" s="230">
        <f>+SUM(F134:F206)</f>
        <v>9644.6108773143933</v>
      </c>
      <c r="G207" s="6"/>
    </row>
    <row r="208" spans="1:10" ht="11.25" customHeight="1" x14ac:dyDescent="0.25">
      <c r="G208" s="6"/>
    </row>
    <row r="209" spans="1:7" x14ac:dyDescent="0.25">
      <c r="A209" s="180" t="s">
        <v>73</v>
      </c>
      <c r="B209" s="180"/>
      <c r="C209" s="180"/>
      <c r="D209" s="179"/>
      <c r="E209" s="179"/>
      <c r="F209" s="247"/>
      <c r="G209" s="6"/>
    </row>
    <row r="210" spans="1:7" ht="11.25" customHeight="1" thickBot="1" x14ac:dyDescent="0.3">
      <c r="G210" s="6"/>
    </row>
    <row r="211" spans="1:7" ht="14.4" thickBot="1" x14ac:dyDescent="0.3">
      <c r="A211" s="182" t="s">
        <v>63</v>
      </c>
      <c r="B211" s="183" t="s">
        <v>64</v>
      </c>
      <c r="C211" s="183" t="s">
        <v>39</v>
      </c>
      <c r="D211" s="184" t="s">
        <v>231</v>
      </c>
      <c r="E211" s="184" t="s">
        <v>65</v>
      </c>
      <c r="F211" s="185" t="s">
        <v>340</v>
      </c>
      <c r="G211" s="6"/>
    </row>
    <row r="212" spans="1:7" x14ac:dyDescent="0.25">
      <c r="A212" s="190" t="s">
        <v>70</v>
      </c>
      <c r="B212" s="191" t="s">
        <v>9</v>
      </c>
      <c r="C212" s="222">
        <v>0.16666666666666666</v>
      </c>
      <c r="D212" s="223">
        <v>127</v>
      </c>
      <c r="E212" s="193">
        <f>C212*D212</f>
        <v>21.166666666666664</v>
      </c>
      <c r="F212" s="264"/>
      <c r="G212" s="6"/>
    </row>
    <row r="213" spans="1:7" x14ac:dyDescent="0.25">
      <c r="A213" s="190" t="s">
        <v>26</v>
      </c>
      <c r="B213" s="191" t="s">
        <v>9</v>
      </c>
      <c r="C213" s="222">
        <v>0.33333333333333331</v>
      </c>
      <c r="D213" s="223">
        <v>35</v>
      </c>
      <c r="E213" s="193">
        <f>C213*D213</f>
        <v>11.666666666666666</v>
      </c>
      <c r="F213" s="264"/>
      <c r="G213" s="6"/>
    </row>
    <row r="214" spans="1:7" x14ac:dyDescent="0.25">
      <c r="A214" s="190" t="s">
        <v>27</v>
      </c>
      <c r="B214" s="191" t="s">
        <v>9</v>
      </c>
      <c r="C214" s="222">
        <v>0.33333333333333331</v>
      </c>
      <c r="D214" s="223">
        <v>42</v>
      </c>
      <c r="E214" s="193">
        <f>C214*D214</f>
        <v>14</v>
      </c>
      <c r="F214" s="264"/>
      <c r="G214" s="6"/>
    </row>
    <row r="215" spans="1:7" x14ac:dyDescent="0.25">
      <c r="A215" s="190" t="s">
        <v>56</v>
      </c>
      <c r="B215" s="191" t="s">
        <v>57</v>
      </c>
      <c r="C215" s="222">
        <v>0.16666666666666666</v>
      </c>
      <c r="D215" s="223">
        <v>1200</v>
      </c>
      <c r="E215" s="193">
        <f>C215*D215</f>
        <v>200</v>
      </c>
      <c r="F215" s="264"/>
      <c r="G215" s="6"/>
    </row>
    <row r="216" spans="1:7" ht="14.4" thickBot="1" x14ac:dyDescent="0.3">
      <c r="A216" s="190" t="s">
        <v>59</v>
      </c>
      <c r="B216" s="191" t="s">
        <v>57</v>
      </c>
      <c r="C216" s="222">
        <v>0.16666666666666666</v>
      </c>
      <c r="D216" s="223">
        <v>50</v>
      </c>
      <c r="E216" s="193">
        <f>C216*D216</f>
        <v>8.3333333333333321</v>
      </c>
      <c r="F216" s="264"/>
      <c r="G216" s="6"/>
    </row>
    <row r="217" spans="1:7" ht="14.4" thickBot="1" x14ac:dyDescent="0.3">
      <c r="A217" s="180"/>
      <c r="B217" s="180"/>
      <c r="C217" s="180"/>
      <c r="D217" s="180"/>
      <c r="E217" s="179"/>
      <c r="F217" s="230">
        <f>SUM(E212:E216)</f>
        <v>255.16666666666666</v>
      </c>
      <c r="G217" s="6"/>
    </row>
    <row r="218" spans="1:7" ht="11.25" customHeight="1" thickBot="1" x14ac:dyDescent="0.3">
      <c r="G218" s="6"/>
    </row>
    <row r="219" spans="1:7" ht="14.4" thickBot="1" x14ac:dyDescent="0.3">
      <c r="A219" s="218" t="s">
        <v>222</v>
      </c>
      <c r="B219" s="219"/>
      <c r="C219" s="219"/>
      <c r="D219" s="153"/>
      <c r="E219" s="220"/>
      <c r="F219" s="230">
        <f>+F217</f>
        <v>255.16666666666666</v>
      </c>
      <c r="G219" s="6"/>
    </row>
    <row r="220" spans="1:7" ht="11.25" customHeight="1" x14ac:dyDescent="0.25">
      <c r="G220" s="6"/>
    </row>
    <row r="221" spans="1:7" x14ac:dyDescent="0.25">
      <c r="A221" s="180" t="s">
        <v>74</v>
      </c>
      <c r="B221" s="180"/>
      <c r="C221" s="180"/>
      <c r="D221" s="179"/>
      <c r="E221" s="179"/>
      <c r="F221" s="247"/>
    </row>
    <row r="222" spans="1:7" ht="11.25" customHeight="1" thickBot="1" x14ac:dyDescent="0.3"/>
    <row r="223" spans="1:7" ht="14.4" thickBot="1" x14ac:dyDescent="0.3">
      <c r="A223" s="182" t="s">
        <v>63</v>
      </c>
      <c r="B223" s="183" t="s">
        <v>64</v>
      </c>
      <c r="C223" s="183" t="s">
        <v>39</v>
      </c>
      <c r="D223" s="184" t="s">
        <v>231</v>
      </c>
      <c r="E223" s="184" t="s">
        <v>65</v>
      </c>
      <c r="F223" s="185" t="s">
        <v>340</v>
      </c>
    </row>
    <row r="224" spans="1:7" x14ac:dyDescent="0.25">
      <c r="A224" s="190" t="s">
        <v>219</v>
      </c>
      <c r="B224" s="191" t="s">
        <v>57</v>
      </c>
      <c r="C224" s="226">
        <f>C134</f>
        <v>1</v>
      </c>
      <c r="D224" s="249">
        <v>400</v>
      </c>
      <c r="E224" s="193">
        <f>+D224*C224</f>
        <v>400</v>
      </c>
      <c r="F224" s="264"/>
    </row>
    <row r="225" spans="1:7" ht="14.4" x14ac:dyDescent="0.25">
      <c r="A225" s="190" t="s">
        <v>60</v>
      </c>
      <c r="B225" s="191" t="s">
        <v>7</v>
      </c>
      <c r="C225" s="265">
        <v>60</v>
      </c>
      <c r="D225" s="266">
        <f>SUM(E224:E224)</f>
        <v>400</v>
      </c>
      <c r="E225" s="266">
        <f>+D225/C225</f>
        <v>6.666666666666667</v>
      </c>
      <c r="F225" s="264"/>
    </row>
    <row r="226" spans="1:7" x14ac:dyDescent="0.25">
      <c r="A226" s="190" t="s">
        <v>220</v>
      </c>
      <c r="B226" s="191" t="s">
        <v>9</v>
      </c>
      <c r="C226" s="226">
        <f>+C224</f>
        <v>1</v>
      </c>
      <c r="D226" s="249">
        <v>120</v>
      </c>
      <c r="E226" s="193">
        <f>C226*D226</f>
        <v>120</v>
      </c>
      <c r="F226" s="264"/>
    </row>
    <row r="227" spans="1:7" ht="15" thickBot="1" x14ac:dyDescent="0.3">
      <c r="A227" s="190" t="s">
        <v>36</v>
      </c>
      <c r="B227" s="191" t="s">
        <v>7</v>
      </c>
      <c r="C227" s="265">
        <v>1</v>
      </c>
      <c r="D227" s="266">
        <f>+E226</f>
        <v>120</v>
      </c>
      <c r="E227" s="266">
        <f>+D227/C227</f>
        <v>120</v>
      </c>
      <c r="F227" s="264"/>
    </row>
    <row r="228" spans="1:7" ht="14.4" thickBot="1" x14ac:dyDescent="0.3">
      <c r="A228" s="174"/>
      <c r="B228" s="174"/>
      <c r="C228" s="174"/>
      <c r="D228" s="202" t="s">
        <v>195</v>
      </c>
      <c r="E228" s="203">
        <v>1</v>
      </c>
      <c r="F228" s="267">
        <f>(E225+E227)*E228</f>
        <v>126.66666666666667</v>
      </c>
    </row>
    <row r="229" spans="1:7" s="269" customFormat="1" ht="11.25" customHeight="1" thickBot="1" x14ac:dyDescent="0.3">
      <c r="A229" s="6"/>
      <c r="B229" s="6"/>
      <c r="C229" s="6"/>
      <c r="D229" s="8"/>
      <c r="E229" s="8"/>
      <c r="F229" s="8"/>
      <c r="G229" s="268"/>
    </row>
    <row r="230" spans="1:7" ht="14.4" thickBot="1" x14ac:dyDescent="0.3">
      <c r="A230" s="218" t="s">
        <v>218</v>
      </c>
      <c r="B230" s="219"/>
      <c r="C230" s="219"/>
      <c r="D230" s="153"/>
      <c r="E230" s="220"/>
      <c r="F230" s="230">
        <f>+F228</f>
        <v>126.66666666666667</v>
      </c>
    </row>
    <row r="231" spans="1:7" ht="11.25" customHeight="1" thickBot="1" x14ac:dyDescent="0.3"/>
    <row r="232" spans="1:7" ht="17.25" customHeight="1" thickBot="1" x14ac:dyDescent="0.3">
      <c r="A232" s="218" t="s">
        <v>223</v>
      </c>
      <c r="B232" s="227"/>
      <c r="C232" s="227"/>
      <c r="D232" s="228"/>
      <c r="E232" s="229"/>
      <c r="F232" s="214">
        <f>+F90+F126+F207+F219+F230</f>
        <v>20715.966189136954</v>
      </c>
    </row>
    <row r="233" spans="1:7" ht="11.25" customHeight="1" x14ac:dyDescent="0.25"/>
    <row r="234" spans="1:7" x14ac:dyDescent="0.25">
      <c r="A234" s="140" t="s">
        <v>89</v>
      </c>
    </row>
    <row r="235" spans="1:7" ht="11.25" customHeight="1" thickBot="1" x14ac:dyDescent="0.3"/>
    <row r="236" spans="1:7" ht="14.4" thickBot="1" x14ac:dyDescent="0.3">
      <c r="A236" s="182" t="s">
        <v>63</v>
      </c>
      <c r="B236" s="183" t="s">
        <v>64</v>
      </c>
      <c r="C236" s="183" t="s">
        <v>39</v>
      </c>
      <c r="D236" s="184" t="s">
        <v>231</v>
      </c>
      <c r="E236" s="184" t="s">
        <v>65</v>
      </c>
      <c r="F236" s="185" t="s">
        <v>340</v>
      </c>
    </row>
    <row r="237" spans="1:7" ht="14.4" thickBot="1" x14ac:dyDescent="0.3">
      <c r="A237" s="186" t="s">
        <v>35</v>
      </c>
      <c r="B237" s="187" t="s">
        <v>2</v>
      </c>
      <c r="C237" s="200">
        <f>'4.BDI'!C20*100</f>
        <v>26.31</v>
      </c>
      <c r="D237" s="189">
        <f>+F232</f>
        <v>20715.966189136954</v>
      </c>
      <c r="E237" s="189">
        <f>C237*D237/100</f>
        <v>5450.3707043619324</v>
      </c>
    </row>
    <row r="238" spans="1:7" ht="14.4" thickBot="1" x14ac:dyDescent="0.3">
      <c r="F238" s="230">
        <f>+E237</f>
        <v>5450.3707043619324</v>
      </c>
    </row>
    <row r="239" spans="1:7" ht="11.25" customHeight="1" thickBot="1" x14ac:dyDescent="0.3"/>
    <row r="240" spans="1:7" ht="14.4" thickBot="1" x14ac:dyDescent="0.3">
      <c r="A240" s="218" t="s">
        <v>236</v>
      </c>
      <c r="B240" s="227"/>
      <c r="C240" s="227"/>
      <c r="D240" s="228"/>
      <c r="E240" s="229"/>
      <c r="F240" s="214">
        <f>F238</f>
        <v>5450.3707043619324</v>
      </c>
    </row>
    <row r="241" spans="1:6" x14ac:dyDescent="0.25">
      <c r="A241" s="180"/>
      <c r="B241" s="180"/>
      <c r="C241" s="180"/>
      <c r="D241" s="179"/>
      <c r="E241" s="179"/>
      <c r="F241" s="247"/>
    </row>
    <row r="242" spans="1:6" ht="11.25" customHeight="1" thickBot="1" x14ac:dyDescent="0.3"/>
    <row r="243" spans="1:6" ht="24.75" customHeight="1" thickBot="1" x14ac:dyDescent="0.3">
      <c r="A243" s="218" t="s">
        <v>224</v>
      </c>
      <c r="B243" s="227"/>
      <c r="C243" s="227"/>
      <c r="D243" s="228"/>
      <c r="E243" s="229"/>
      <c r="F243" s="214">
        <f>F232+F240</f>
        <v>26166.336893498887</v>
      </c>
    </row>
    <row r="244" spans="1:6" ht="12.6" customHeight="1" x14ac:dyDescent="0.25">
      <c r="A244" s="180"/>
      <c r="B244" s="180"/>
      <c r="C244" s="180"/>
      <c r="D244" s="179"/>
      <c r="E244" s="179"/>
      <c r="F244" s="179"/>
    </row>
    <row r="274" spans="4:7" ht="9" customHeight="1" x14ac:dyDescent="0.25">
      <c r="D274" s="6"/>
      <c r="E274" s="6"/>
      <c r="F274" s="6"/>
      <c r="G274" s="6"/>
    </row>
  </sheetData>
  <mergeCells count="8">
    <mergeCell ref="A1:F1"/>
    <mergeCell ref="A34:D34"/>
    <mergeCell ref="A13:C13"/>
    <mergeCell ref="A2:F2"/>
    <mergeCell ref="A3:F3"/>
    <mergeCell ref="A29:D29"/>
    <mergeCell ref="A5:F5"/>
    <mergeCell ref="A28:E28"/>
  </mergeCells>
  <phoneticPr fontId="8" type="noConversion"/>
  <hyperlinks>
    <hyperlink ref="A149" location="AbaRemun" display="3.1.2. Remuneração do Capital"/>
    <hyperlink ref="A132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1" fitToHeight="0" orientation="portrait" r:id="rId1"/>
  <headerFooter alignWithMargins="0">
    <oddFooter>&amp;R&amp;P de &amp;N</oddFooter>
  </headerFooter>
  <rowBreaks count="4" manualBreakCount="4">
    <brk id="39" max="5" man="1"/>
    <brk id="70" max="5" man="1"/>
    <brk id="127" max="5" man="1"/>
    <brk id="196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opLeftCell="A14" zoomScale="90" zoomScaleNormal="90" workbookViewId="0">
      <selection activeCell="B43" sqref="B43"/>
    </sheetView>
  </sheetViews>
  <sheetFormatPr defaultColWidth="9.109375" defaultRowHeight="13.8" x14ac:dyDescent="0.25"/>
  <cols>
    <col min="1" max="1" width="13.5546875" style="13" customWidth="1"/>
    <col min="2" max="2" width="39.5546875" style="13" bestFit="1" customWidth="1"/>
    <col min="3" max="3" width="20.88671875" style="13" customWidth="1"/>
    <col min="4" max="4" width="37.33203125" style="13" customWidth="1"/>
    <col min="5" max="10" width="9.109375" style="13"/>
    <col min="11" max="11" width="11" style="13" bestFit="1" customWidth="1"/>
    <col min="12" max="16384" width="9.109375" style="13"/>
  </cols>
  <sheetData>
    <row r="1" spans="1:7" hidden="1" x14ac:dyDescent="0.25">
      <c r="A1" s="140" t="s">
        <v>203</v>
      </c>
    </row>
    <row r="2" spans="1:7" hidden="1" x14ac:dyDescent="0.25">
      <c r="A2" s="270" t="s">
        <v>242</v>
      </c>
    </row>
    <row r="3" spans="1:7" s="6" customFormat="1" ht="15.6" hidden="1" customHeight="1" x14ac:dyDescent="0.25">
      <c r="B3" s="270"/>
      <c r="C3" s="270"/>
      <c r="D3" s="270"/>
      <c r="E3" s="270"/>
      <c r="F3" s="270"/>
      <c r="G3" s="8"/>
    </row>
    <row r="4" spans="1:7" s="6" customFormat="1" ht="15.6" hidden="1" customHeight="1" x14ac:dyDescent="0.25">
      <c r="A4" s="271" t="s">
        <v>283</v>
      </c>
      <c r="B4" s="270"/>
      <c r="C4" s="270"/>
      <c r="D4" s="270"/>
      <c r="E4" s="270"/>
      <c r="F4" s="270"/>
      <c r="G4" s="8"/>
    </row>
    <row r="5" spans="1:7" s="6" customFormat="1" ht="16.5" customHeight="1" x14ac:dyDescent="0.25">
      <c r="A5" s="272" t="s">
        <v>292</v>
      </c>
      <c r="B5" s="270"/>
      <c r="C5" s="270"/>
      <c r="D5" s="8"/>
      <c r="E5" s="8"/>
      <c r="F5" s="8"/>
      <c r="G5" s="8"/>
    </row>
    <row r="6" spans="1:7" s="6" customFormat="1" ht="16.5" customHeight="1" x14ac:dyDescent="0.25">
      <c r="A6" s="272"/>
      <c r="B6" s="270"/>
      <c r="C6" s="270"/>
      <c r="D6" s="8"/>
      <c r="E6" s="8"/>
      <c r="F6" s="8"/>
      <c r="G6" s="8"/>
    </row>
    <row r="7" spans="1:7" ht="14.4" thickBot="1" x14ac:dyDescent="0.3"/>
    <row r="8" spans="1:7" x14ac:dyDescent="0.25">
      <c r="A8" s="311" t="s">
        <v>333</v>
      </c>
      <c r="B8" s="312"/>
      <c r="C8" s="313"/>
      <c r="D8" s="140"/>
      <c r="E8" s="140"/>
      <c r="F8" s="140"/>
    </row>
    <row r="9" spans="1:7" x14ac:dyDescent="0.25">
      <c r="A9" s="26" t="s">
        <v>141</v>
      </c>
      <c r="B9" s="27" t="s">
        <v>142</v>
      </c>
      <c r="C9" s="28" t="s">
        <v>143</v>
      </c>
      <c r="D9" s="118"/>
    </row>
    <row r="10" spans="1:7" x14ac:dyDescent="0.25">
      <c r="A10" s="26" t="s">
        <v>144</v>
      </c>
      <c r="B10" s="27" t="s">
        <v>40</v>
      </c>
      <c r="C10" s="29">
        <v>0.2</v>
      </c>
      <c r="D10" s="118"/>
    </row>
    <row r="11" spans="1:7" x14ac:dyDescent="0.25">
      <c r="A11" s="26" t="s">
        <v>145</v>
      </c>
      <c r="B11" s="27" t="s">
        <v>146</v>
      </c>
      <c r="C11" s="29">
        <v>1.4999999999999999E-2</v>
      </c>
      <c r="D11" s="118"/>
    </row>
    <row r="12" spans="1:7" x14ac:dyDescent="0.25">
      <c r="A12" s="26" t="s">
        <v>147</v>
      </c>
      <c r="B12" s="27" t="s">
        <v>148</v>
      </c>
      <c r="C12" s="29">
        <v>0.01</v>
      </c>
      <c r="D12" s="118"/>
    </row>
    <row r="13" spans="1:7" x14ac:dyDescent="0.25">
      <c r="A13" s="26" t="s">
        <v>149</v>
      </c>
      <c r="B13" s="27" t="s">
        <v>150</v>
      </c>
      <c r="C13" s="29">
        <v>2E-3</v>
      </c>
      <c r="D13" s="118"/>
    </row>
    <row r="14" spans="1:7" x14ac:dyDescent="0.25">
      <c r="A14" s="26" t="s">
        <v>151</v>
      </c>
      <c r="B14" s="27" t="s">
        <v>152</v>
      </c>
      <c r="C14" s="29">
        <v>6.0000000000000001E-3</v>
      </c>
      <c r="D14" s="118"/>
    </row>
    <row r="15" spans="1:7" x14ac:dyDescent="0.25">
      <c r="A15" s="26" t="s">
        <v>153</v>
      </c>
      <c r="B15" s="27" t="s">
        <v>154</v>
      </c>
      <c r="C15" s="29">
        <v>2.5000000000000001E-2</v>
      </c>
      <c r="D15" s="118"/>
    </row>
    <row r="16" spans="1:7" x14ac:dyDescent="0.25">
      <c r="A16" s="26" t="s">
        <v>155</v>
      </c>
      <c r="B16" s="27" t="s">
        <v>156</v>
      </c>
      <c r="C16" s="29">
        <v>0.03</v>
      </c>
      <c r="D16" s="118"/>
    </row>
    <row r="17" spans="1:8" x14ac:dyDescent="0.25">
      <c r="A17" s="26" t="s">
        <v>157</v>
      </c>
      <c r="B17" s="27" t="s">
        <v>41</v>
      </c>
      <c r="C17" s="29">
        <v>0.08</v>
      </c>
      <c r="D17" s="118"/>
    </row>
    <row r="18" spans="1:8" x14ac:dyDescent="0.25">
      <c r="A18" s="26" t="s">
        <v>158</v>
      </c>
      <c r="B18" s="30" t="s">
        <v>159</v>
      </c>
      <c r="C18" s="31">
        <f>SUM(C10:C17)</f>
        <v>0.36800000000000005</v>
      </c>
      <c r="D18" s="118"/>
    </row>
    <row r="19" spans="1:8" x14ac:dyDescent="0.25">
      <c r="A19" s="32"/>
      <c r="B19" s="33"/>
      <c r="C19" s="34"/>
      <c r="D19" s="118"/>
    </row>
    <row r="20" spans="1:8" x14ac:dyDescent="0.25">
      <c r="A20" s="26" t="s">
        <v>160</v>
      </c>
      <c r="B20" s="35" t="s">
        <v>161</v>
      </c>
      <c r="C20" s="288">
        <v>6.1899999999999997E-2</v>
      </c>
      <c r="D20" s="118"/>
    </row>
    <row r="21" spans="1:8" x14ac:dyDescent="0.25">
      <c r="A21" s="26" t="s">
        <v>162</v>
      </c>
      <c r="B21" s="35" t="s">
        <v>163</v>
      </c>
      <c r="C21" s="288">
        <f>ROUND('[1]5.CAGED'!C36/'[1]5.CAGED'!C33,4)</f>
        <v>8.3299999999999999E-2</v>
      </c>
      <c r="D21" s="118"/>
    </row>
    <row r="22" spans="1:8" x14ac:dyDescent="0.25">
      <c r="A22" s="26" t="s">
        <v>216</v>
      </c>
      <c r="B22" s="35" t="s">
        <v>165</v>
      </c>
      <c r="C22" s="288">
        <v>5.9999999999999995E-4</v>
      </c>
      <c r="D22" s="118"/>
    </row>
    <row r="23" spans="1:8" x14ac:dyDescent="0.25">
      <c r="A23" s="26" t="s">
        <v>164</v>
      </c>
      <c r="B23" s="35" t="s">
        <v>167</v>
      </c>
      <c r="C23" s="288">
        <v>8.2000000000000007E-3</v>
      </c>
      <c r="D23" s="118"/>
    </row>
    <row r="24" spans="1:8" x14ac:dyDescent="0.25">
      <c r="A24" s="26" t="s">
        <v>166</v>
      </c>
      <c r="B24" s="35" t="s">
        <v>169</v>
      </c>
      <c r="C24" s="288">
        <v>3.0999999999999999E-3</v>
      </c>
      <c r="D24" s="118"/>
    </row>
    <row r="25" spans="1:8" x14ac:dyDescent="0.25">
      <c r="A25" s="26" t="s">
        <v>168</v>
      </c>
      <c r="B25" s="35" t="s">
        <v>170</v>
      </c>
      <c r="C25" s="288">
        <v>1.66E-2</v>
      </c>
      <c r="D25" s="118"/>
    </row>
    <row r="26" spans="1:8" x14ac:dyDescent="0.25">
      <c r="A26" s="26" t="s">
        <v>171</v>
      </c>
      <c r="B26" s="30" t="s">
        <v>172</v>
      </c>
      <c r="C26" s="289">
        <f>SUM(C20:C25)</f>
        <v>0.17369999999999999</v>
      </c>
      <c r="D26" s="118"/>
    </row>
    <row r="27" spans="1:8" x14ac:dyDescent="0.25">
      <c r="A27" s="32"/>
      <c r="B27" s="33"/>
      <c r="C27" s="34"/>
      <c r="D27" s="118"/>
    </row>
    <row r="28" spans="1:8" x14ac:dyDescent="0.25">
      <c r="A28" s="26" t="s">
        <v>173</v>
      </c>
      <c r="B28" s="27" t="s">
        <v>174</v>
      </c>
      <c r="C28" s="288">
        <v>2.5600000000000001E-2</v>
      </c>
      <c r="D28" s="118"/>
      <c r="E28" s="273"/>
    </row>
    <row r="29" spans="1:8" x14ac:dyDescent="0.25">
      <c r="A29" s="26" t="s">
        <v>215</v>
      </c>
      <c r="B29" s="27" t="s">
        <v>176</v>
      </c>
      <c r="C29" s="288">
        <v>4.9200000000000001E-2</v>
      </c>
      <c r="D29" s="118"/>
      <c r="H29" s="36"/>
    </row>
    <row r="30" spans="1:8" x14ac:dyDescent="0.25">
      <c r="A30" s="26" t="s">
        <v>175</v>
      </c>
      <c r="B30" s="27" t="s">
        <v>178</v>
      </c>
      <c r="C30" s="288">
        <f>C28*C29</f>
        <v>1.2595200000000001E-3</v>
      </c>
      <c r="D30" s="118"/>
      <c r="E30" s="273"/>
    </row>
    <row r="31" spans="1:8" x14ac:dyDescent="0.25">
      <c r="A31" s="26" t="s">
        <v>177</v>
      </c>
      <c r="B31" s="27" t="s">
        <v>180</v>
      </c>
      <c r="C31" s="288">
        <v>2.0500000000000001E-2</v>
      </c>
      <c r="D31" s="118"/>
      <c r="G31" s="273"/>
    </row>
    <row r="32" spans="1:8" x14ac:dyDescent="0.25">
      <c r="A32" s="26" t="s">
        <v>179</v>
      </c>
      <c r="B32" s="27" t="s">
        <v>181</v>
      </c>
      <c r="C32" s="288">
        <v>1.8E-3</v>
      </c>
      <c r="D32" s="118"/>
    </row>
    <row r="33" spans="1:4" x14ac:dyDescent="0.25">
      <c r="A33" s="26" t="s">
        <v>182</v>
      </c>
      <c r="B33" s="30" t="s">
        <v>183</v>
      </c>
      <c r="C33" s="289">
        <f>SUM(C28:C32)</f>
        <v>9.8359520000000006E-2</v>
      </c>
      <c r="D33" s="118"/>
    </row>
    <row r="34" spans="1:4" x14ac:dyDescent="0.25">
      <c r="A34" s="32"/>
      <c r="B34" s="33"/>
      <c r="C34" s="34"/>
      <c r="D34" s="118"/>
    </row>
    <row r="35" spans="1:4" x14ac:dyDescent="0.25">
      <c r="A35" s="26" t="s">
        <v>184</v>
      </c>
      <c r="B35" s="27" t="s">
        <v>185</v>
      </c>
      <c r="C35" s="29">
        <f>ROUND(C18*C26,4)</f>
        <v>6.3899999999999998E-2</v>
      </c>
      <c r="D35" s="118"/>
    </row>
    <row r="36" spans="1:4" ht="27.6" x14ac:dyDescent="0.25">
      <c r="A36" s="26" t="s">
        <v>186</v>
      </c>
      <c r="B36" s="37" t="s">
        <v>280</v>
      </c>
      <c r="C36" s="29">
        <f>ROUND((C28*C17),4)</f>
        <v>2E-3</v>
      </c>
      <c r="D36" s="118"/>
    </row>
    <row r="37" spans="1:4" x14ac:dyDescent="0.25">
      <c r="A37" s="26" t="s">
        <v>187</v>
      </c>
      <c r="B37" s="30" t="s">
        <v>188</v>
      </c>
      <c r="C37" s="289">
        <f>SUM(C35:C36)</f>
        <v>6.59E-2</v>
      </c>
      <c r="D37" s="118"/>
    </row>
    <row r="38" spans="1:4" ht="14.4" thickBot="1" x14ac:dyDescent="0.3">
      <c r="A38" s="38"/>
      <c r="B38" s="39" t="s">
        <v>189</v>
      </c>
      <c r="C38" s="40">
        <f>C37+C33+C26+C18</f>
        <v>0.70595951999999995</v>
      </c>
      <c r="D38" s="118"/>
    </row>
    <row r="39" spans="1:4" x14ac:dyDescent="0.25">
      <c r="A39" s="118"/>
      <c r="B39" s="119"/>
      <c r="C39" s="120"/>
      <c r="D39" s="122"/>
    </row>
    <row r="40" spans="1:4" x14ac:dyDescent="0.25">
      <c r="A40" s="118"/>
      <c r="B40" s="118"/>
      <c r="C40" s="121"/>
      <c r="D40" s="122"/>
    </row>
    <row r="41" spans="1:4" x14ac:dyDescent="0.25">
      <c r="A41" s="118"/>
      <c r="B41" s="118"/>
      <c r="C41" s="121"/>
      <c r="D41" s="118"/>
    </row>
    <row r="42" spans="1:4" x14ac:dyDescent="0.25">
      <c r="A42" s="118"/>
      <c r="B42" s="118"/>
      <c r="C42" s="121"/>
      <c r="D42" s="118"/>
    </row>
    <row r="43" spans="1:4" x14ac:dyDescent="0.25">
      <c r="A43" s="118"/>
      <c r="B43" s="118"/>
      <c r="C43" s="121"/>
      <c r="D43" s="118"/>
    </row>
    <row r="44" spans="1:4" x14ac:dyDescent="0.25">
      <c r="A44" s="118"/>
      <c r="B44" s="119"/>
      <c r="C44" s="120"/>
      <c r="D44" s="118"/>
    </row>
    <row r="45" spans="1:4" x14ac:dyDescent="0.25">
      <c r="A45" s="118"/>
      <c r="B45" s="119"/>
      <c r="C45" s="120"/>
      <c r="D45" s="118"/>
    </row>
    <row r="46" spans="1:4" x14ac:dyDescent="0.25">
      <c r="A46" s="274"/>
    </row>
    <row r="47" spans="1:4" x14ac:dyDescent="0.25">
      <c r="A47" s="275"/>
      <c r="B47" s="276"/>
      <c r="C47" s="276"/>
    </row>
    <row r="48" spans="1:4" x14ac:dyDescent="0.25">
      <c r="A48" s="118"/>
      <c r="B48" s="123"/>
      <c r="C48" s="276"/>
    </row>
    <row r="49" spans="1:3" x14ac:dyDescent="0.25">
      <c r="A49" s="118"/>
      <c r="B49" s="123"/>
      <c r="C49" s="118"/>
    </row>
    <row r="50" spans="1:3" x14ac:dyDescent="0.25">
      <c r="A50" s="118"/>
      <c r="B50" s="121"/>
      <c r="C50" s="276"/>
    </row>
    <row r="51" spans="1:3" x14ac:dyDescent="0.25">
      <c r="A51" s="118"/>
      <c r="B51" s="123"/>
      <c r="C51" s="118"/>
    </row>
    <row r="52" spans="1:3" x14ac:dyDescent="0.25">
      <c r="A52" s="118"/>
      <c r="B52" s="121"/>
      <c r="C52" s="276"/>
    </row>
    <row r="53" spans="1:3" x14ac:dyDescent="0.25">
      <c r="A53" s="118"/>
      <c r="B53" s="123"/>
      <c r="C53" s="118"/>
    </row>
    <row r="54" spans="1:3" x14ac:dyDescent="0.25">
      <c r="A54" s="118"/>
      <c r="B54" s="121"/>
      <c r="C54" s="276"/>
    </row>
    <row r="55" spans="1:3" x14ac:dyDescent="0.25">
      <c r="A55" s="118"/>
      <c r="B55" s="123"/>
      <c r="C55" s="118"/>
    </row>
    <row r="56" spans="1:3" x14ac:dyDescent="0.25">
      <c r="A56" s="118"/>
      <c r="B56" s="121"/>
      <c r="C56" s="276"/>
    </row>
    <row r="57" spans="1:3" x14ac:dyDescent="0.25">
      <c r="A57" s="274"/>
    </row>
    <row r="60" spans="1:3" x14ac:dyDescent="0.25">
      <c r="A60" s="277"/>
    </row>
  </sheetData>
  <mergeCells count="1">
    <mergeCell ref="A8:C8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4" zoomScaleNormal="100" workbookViewId="0">
      <selection activeCell="D11" sqref="D11"/>
    </sheetView>
  </sheetViews>
  <sheetFormatPr defaultColWidth="9.109375" defaultRowHeight="13.8" x14ac:dyDescent="0.25"/>
  <cols>
    <col min="1" max="1" width="8.5546875" style="13" customWidth="1"/>
    <col min="2" max="2" width="67.109375" style="13" customWidth="1"/>
    <col min="3" max="3" width="13.6640625" style="13" customWidth="1"/>
    <col min="4" max="4" width="10.33203125" style="13" customWidth="1"/>
    <col min="5" max="5" width="13.6640625" style="13" customWidth="1"/>
    <col min="6" max="16384" width="9.109375" style="13"/>
  </cols>
  <sheetData>
    <row r="1" spans="1:3" x14ac:dyDescent="0.25">
      <c r="A1" s="278" t="s">
        <v>237</v>
      </c>
    </row>
    <row r="3" spans="1:3" x14ac:dyDescent="0.25">
      <c r="A3" s="13" t="s">
        <v>293</v>
      </c>
    </row>
    <row r="4" spans="1:3" x14ac:dyDescent="0.25">
      <c r="A4" s="13" t="s">
        <v>294</v>
      </c>
    </row>
    <row r="5" spans="1:3" ht="13.2" customHeight="1" x14ac:dyDescent="0.25">
      <c r="A5" s="314" t="s">
        <v>295</v>
      </c>
      <c r="B5" s="314"/>
      <c r="C5" s="314"/>
    </row>
    <row r="6" spans="1:3" x14ac:dyDescent="0.25">
      <c r="A6" s="13" t="s">
        <v>296</v>
      </c>
    </row>
    <row r="7" spans="1:3" ht="13.2" customHeight="1" x14ac:dyDescent="0.25">
      <c r="A7" s="314" t="s">
        <v>297</v>
      </c>
      <c r="B7" s="314"/>
      <c r="C7" s="314"/>
    </row>
    <row r="8" spans="1:3" x14ac:dyDescent="0.25">
      <c r="A8" s="13" t="s">
        <v>298</v>
      </c>
    </row>
    <row r="9" spans="1:3" x14ac:dyDescent="0.25">
      <c r="A9" s="279" t="s">
        <v>299</v>
      </c>
    </row>
    <row r="10" spans="1:3" ht="14.4" thickBot="1" x14ac:dyDescent="0.3"/>
    <row r="11" spans="1:3" x14ac:dyDescent="0.25">
      <c r="B11" s="315" t="s">
        <v>300</v>
      </c>
      <c r="C11" s="316"/>
    </row>
    <row r="12" spans="1:3" x14ac:dyDescent="0.25">
      <c r="B12" s="15" t="s">
        <v>204</v>
      </c>
      <c r="C12" s="41"/>
    </row>
    <row r="13" spans="1:3" x14ac:dyDescent="0.25">
      <c r="B13" s="16" t="s">
        <v>125</v>
      </c>
      <c r="C13" s="17">
        <v>1932</v>
      </c>
    </row>
    <row r="14" spans="1:3" x14ac:dyDescent="0.25">
      <c r="B14" s="18" t="s">
        <v>126</v>
      </c>
      <c r="C14" s="17">
        <v>2197</v>
      </c>
    </row>
    <row r="15" spans="1:3" x14ac:dyDescent="0.25">
      <c r="B15" s="42" t="s">
        <v>127</v>
      </c>
      <c r="C15" s="43">
        <v>25</v>
      </c>
    </row>
    <row r="16" spans="1:3" x14ac:dyDescent="0.25">
      <c r="B16" s="42" t="s">
        <v>128</v>
      </c>
      <c r="C16" s="43">
        <v>1463</v>
      </c>
    </row>
    <row r="17" spans="1:3" x14ac:dyDescent="0.25">
      <c r="B17" s="42" t="s">
        <v>129</v>
      </c>
      <c r="C17" s="43">
        <v>321</v>
      </c>
    </row>
    <row r="18" spans="1:3" x14ac:dyDescent="0.25">
      <c r="B18" s="42" t="s">
        <v>130</v>
      </c>
      <c r="C18" s="43">
        <v>12</v>
      </c>
    </row>
    <row r="19" spans="1:3" x14ac:dyDescent="0.25">
      <c r="B19" s="42" t="s">
        <v>131</v>
      </c>
      <c r="C19" s="43">
        <v>339</v>
      </c>
    </row>
    <row r="20" spans="1:3" x14ac:dyDescent="0.25">
      <c r="B20" s="42" t="s">
        <v>132</v>
      </c>
      <c r="C20" s="43">
        <v>0</v>
      </c>
    </row>
    <row r="21" spans="1:3" x14ac:dyDescent="0.25">
      <c r="B21" s="42" t="s">
        <v>133</v>
      </c>
      <c r="C21" s="43">
        <v>22</v>
      </c>
    </row>
    <row r="22" spans="1:3" x14ac:dyDescent="0.25">
      <c r="B22" s="44" t="s">
        <v>134</v>
      </c>
      <c r="C22" s="45">
        <v>0</v>
      </c>
    </row>
    <row r="23" spans="1:3" x14ac:dyDescent="0.25">
      <c r="B23" s="116" t="s">
        <v>286</v>
      </c>
      <c r="C23" s="45">
        <v>0</v>
      </c>
    </row>
    <row r="24" spans="1:3" x14ac:dyDescent="0.25">
      <c r="A24" s="13" t="s">
        <v>135</v>
      </c>
      <c r="B24" s="15" t="s">
        <v>136</v>
      </c>
      <c r="C24" s="41"/>
    </row>
    <row r="25" spans="1:3" x14ac:dyDescent="0.25">
      <c r="B25" s="46" t="s">
        <v>301</v>
      </c>
      <c r="C25" s="47">
        <v>5183</v>
      </c>
    </row>
    <row r="26" spans="1:3" x14ac:dyDescent="0.25">
      <c r="B26" s="42" t="s">
        <v>302</v>
      </c>
      <c r="C26" s="43">
        <v>4918</v>
      </c>
    </row>
    <row r="27" spans="1:3" x14ac:dyDescent="0.25">
      <c r="B27" s="42" t="s">
        <v>303</v>
      </c>
      <c r="C27" s="65">
        <f>C13-C14</f>
        <v>-265</v>
      </c>
    </row>
    <row r="28" spans="1:3" x14ac:dyDescent="0.25">
      <c r="B28" s="48"/>
      <c r="C28" s="49"/>
    </row>
    <row r="29" spans="1:3" s="278" customFormat="1" x14ac:dyDescent="0.25">
      <c r="B29" s="16" t="s">
        <v>138</v>
      </c>
      <c r="C29" s="50">
        <f>MEDIAN(C25,C26)</f>
        <v>5050.5</v>
      </c>
    </row>
    <row r="30" spans="1:3" x14ac:dyDescent="0.25">
      <c r="B30" s="18" t="s">
        <v>284</v>
      </c>
      <c r="C30" s="114">
        <f>C16/C29</f>
        <v>0.28967428967428965</v>
      </c>
    </row>
    <row r="31" spans="1:3" x14ac:dyDescent="0.25">
      <c r="B31" s="18" t="s">
        <v>285</v>
      </c>
      <c r="C31" s="114">
        <f>MEDIAN(C13,C14)/C29</f>
        <v>0.40877140877140877</v>
      </c>
    </row>
    <row r="32" spans="1:3" s="278" customFormat="1" x14ac:dyDescent="0.25">
      <c r="B32" s="18" t="s">
        <v>243</v>
      </c>
      <c r="C32" s="112">
        <f>12/C31</f>
        <v>29.356260595785905</v>
      </c>
    </row>
    <row r="33" spans="2:3" x14ac:dyDescent="0.25">
      <c r="B33" s="18" t="s">
        <v>137</v>
      </c>
      <c r="C33" s="20">
        <v>360</v>
      </c>
    </row>
    <row r="34" spans="2:3" x14ac:dyDescent="0.25">
      <c r="B34" s="18" t="s">
        <v>238</v>
      </c>
      <c r="C34" s="20">
        <v>10</v>
      </c>
    </row>
    <row r="35" spans="2:3" x14ac:dyDescent="0.25">
      <c r="B35" s="16" t="s">
        <v>239</v>
      </c>
      <c r="C35" s="19">
        <v>30</v>
      </c>
    </row>
    <row r="36" spans="2:3" x14ac:dyDescent="0.25">
      <c r="B36" s="16" t="s">
        <v>240</v>
      </c>
      <c r="C36" s="19">
        <v>30</v>
      </c>
    </row>
    <row r="37" spans="2:3" s="278" customFormat="1" x14ac:dyDescent="0.25">
      <c r="B37" s="16" t="s">
        <v>140</v>
      </c>
      <c r="C37" s="19">
        <f>30+(3*TRUNC(1/C31))</f>
        <v>36</v>
      </c>
    </row>
    <row r="38" spans="2:3" s="278" customFormat="1" x14ac:dyDescent="0.25">
      <c r="B38" s="18" t="s">
        <v>41</v>
      </c>
      <c r="C38" s="113">
        <v>0.08</v>
      </c>
    </row>
    <row r="39" spans="2:3" s="278" customFormat="1" ht="14.4" thickBot="1" x14ac:dyDescent="0.3">
      <c r="B39" s="21" t="s">
        <v>139</v>
      </c>
      <c r="C39" s="115">
        <v>0.4</v>
      </c>
    </row>
  </sheetData>
  <mergeCells count="3">
    <mergeCell ref="A5:C5"/>
    <mergeCell ref="A7:C7"/>
    <mergeCell ref="B11:C11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sqref="A1:XFD1048576"/>
    </sheetView>
  </sheetViews>
  <sheetFormatPr defaultRowHeight="13.8" x14ac:dyDescent="0.25"/>
  <cols>
    <col min="1" max="1" width="41.88671875" style="13" bestFit="1" customWidth="1"/>
    <col min="2" max="2" width="5.5546875" style="13" bestFit="1" customWidth="1"/>
    <col min="3" max="3" width="8.88671875" style="13"/>
    <col min="4" max="4" width="9.6640625" style="13" bestFit="1" customWidth="1"/>
    <col min="5" max="5" width="8" style="14" bestFit="1" customWidth="1"/>
    <col min="6" max="6" width="9.6640625" style="13" bestFit="1" customWidth="1"/>
    <col min="7" max="16384" width="8.88671875" style="13"/>
  </cols>
  <sheetData>
    <row r="1" spans="1:7" x14ac:dyDescent="0.25">
      <c r="A1" s="140"/>
      <c r="B1" s="11"/>
      <c r="C1" s="11"/>
    </row>
    <row r="2" spans="1:7" x14ac:dyDescent="0.25">
      <c r="A2" s="280"/>
      <c r="B2" s="11"/>
      <c r="C2" s="11"/>
    </row>
    <row r="3" spans="1:7" x14ac:dyDescent="0.25">
      <c r="A3" s="6"/>
      <c r="B3" s="11"/>
      <c r="C3" s="11"/>
    </row>
    <row r="4" spans="1:7" x14ac:dyDescent="0.25">
      <c r="A4" s="6"/>
      <c r="B4" s="11"/>
      <c r="C4" s="11"/>
    </row>
    <row r="5" spans="1:7" s="6" customFormat="1" ht="15.6" customHeight="1" x14ac:dyDescent="0.25">
      <c r="A5" s="272" t="s">
        <v>292</v>
      </c>
      <c r="B5" s="280"/>
      <c r="C5" s="280"/>
      <c r="D5" s="280"/>
      <c r="E5" s="280"/>
      <c r="F5" s="280"/>
      <c r="G5" s="8"/>
    </row>
    <row r="6" spans="1:7" s="6" customFormat="1" ht="16.5" customHeight="1" x14ac:dyDescent="0.25">
      <c r="A6" s="281"/>
      <c r="B6" s="270"/>
      <c r="C6" s="270"/>
      <c r="D6" s="8"/>
      <c r="E6" s="8"/>
      <c r="F6" s="8"/>
      <c r="G6" s="8"/>
    </row>
    <row r="7" spans="1:7" ht="14.4" thickBot="1" x14ac:dyDescent="0.3">
      <c r="B7" s="11"/>
      <c r="C7" s="11"/>
    </row>
    <row r="8" spans="1:7" x14ac:dyDescent="0.25">
      <c r="A8" s="322" t="s">
        <v>225</v>
      </c>
      <c r="B8" s="323"/>
      <c r="C8" s="323"/>
      <c r="D8" s="323"/>
      <c r="E8" s="323"/>
      <c r="F8" s="324"/>
    </row>
    <row r="9" spans="1:7" ht="14.4" thickBot="1" x14ac:dyDescent="0.3">
      <c r="A9" s="282"/>
      <c r="B9" s="283"/>
      <c r="C9" s="283"/>
      <c r="D9" s="283"/>
      <c r="E9" s="283"/>
      <c r="F9" s="284"/>
    </row>
    <row r="10" spans="1:7" x14ac:dyDescent="0.25">
      <c r="A10" s="51"/>
      <c r="B10" s="12"/>
      <c r="C10" s="12"/>
      <c r="D10" s="319" t="s">
        <v>241</v>
      </c>
      <c r="E10" s="320"/>
      <c r="F10" s="321"/>
    </row>
    <row r="11" spans="1:7" ht="14.4" thickBot="1" x14ac:dyDescent="0.3">
      <c r="A11" s="48"/>
      <c r="B11" s="52"/>
      <c r="C11" s="52"/>
      <c r="D11" s="53" t="s">
        <v>190</v>
      </c>
      <c r="E11" s="54" t="s">
        <v>191</v>
      </c>
      <c r="F11" s="55" t="s">
        <v>192</v>
      </c>
    </row>
    <row r="12" spans="1:7" x14ac:dyDescent="0.25">
      <c r="A12" s="56" t="s">
        <v>75</v>
      </c>
      <c r="B12" s="57" t="s">
        <v>76</v>
      </c>
      <c r="C12" s="58">
        <v>0.05</v>
      </c>
      <c r="D12" s="78">
        <v>2.9700000000000001E-2</v>
      </c>
      <c r="E12" s="79">
        <v>5.0799999999999998E-2</v>
      </c>
      <c r="F12" s="80">
        <v>6.2700000000000006E-2</v>
      </c>
    </row>
    <row r="13" spans="1:7" x14ac:dyDescent="0.25">
      <c r="A13" s="60" t="s">
        <v>77</v>
      </c>
      <c r="B13" s="117" t="s">
        <v>78</v>
      </c>
      <c r="C13" s="61">
        <v>8.6E-3</v>
      </c>
      <c r="D13" s="78">
        <f>0.3%+0.56%</f>
        <v>8.6E-3</v>
      </c>
      <c r="E13" s="79">
        <f>0.48%+0.85%</f>
        <v>1.3299999999999999E-2</v>
      </c>
      <c r="F13" s="80">
        <f>0.82%+0.89%</f>
        <v>1.7099999999999997E-2</v>
      </c>
    </row>
    <row r="14" spans="1:7" x14ac:dyDescent="0.25">
      <c r="A14" s="60" t="s">
        <v>79</v>
      </c>
      <c r="B14" s="117" t="s">
        <v>80</v>
      </c>
      <c r="C14" s="61">
        <v>0.1085</v>
      </c>
      <c r="D14" s="78">
        <v>7.7799999999999994E-2</v>
      </c>
      <c r="E14" s="79">
        <v>0.1085</v>
      </c>
      <c r="F14" s="80">
        <v>0.13550000000000001</v>
      </c>
    </row>
    <row r="15" spans="1:7" x14ac:dyDescent="0.25">
      <c r="A15" s="60" t="s">
        <v>81</v>
      </c>
      <c r="B15" s="117" t="s">
        <v>82</v>
      </c>
      <c r="C15" s="62">
        <f>(1+E15)^(E16/252)-1</f>
        <v>4.7733719866882574E-3</v>
      </c>
      <c r="D15" s="78" t="s">
        <v>276</v>
      </c>
      <c r="E15" s="63">
        <v>0.1275</v>
      </c>
      <c r="F15" s="59"/>
    </row>
    <row r="16" spans="1:7" x14ac:dyDescent="0.25">
      <c r="A16" s="60" t="s">
        <v>83</v>
      </c>
      <c r="B16" s="317" t="s">
        <v>84</v>
      </c>
      <c r="C16" s="61">
        <v>0.03</v>
      </c>
      <c r="D16" s="110" t="s">
        <v>193</v>
      </c>
      <c r="E16" s="64">
        <v>10</v>
      </c>
      <c r="F16" s="65"/>
    </row>
    <row r="17" spans="1:6" ht="14.4" thickBot="1" x14ac:dyDescent="0.3">
      <c r="A17" s="66" t="s">
        <v>85</v>
      </c>
      <c r="B17" s="318"/>
      <c r="C17" s="67">
        <v>3.6499999999999998E-2</v>
      </c>
      <c r="D17" s="42"/>
      <c r="E17" s="68"/>
      <c r="F17" s="65"/>
    </row>
    <row r="18" spans="1:6" x14ac:dyDescent="0.25">
      <c r="A18" s="69" t="s">
        <v>86</v>
      </c>
      <c r="B18" s="70"/>
      <c r="C18" s="71"/>
      <c r="D18" s="42"/>
      <c r="E18" s="68"/>
      <c r="F18" s="65"/>
    </row>
    <row r="19" spans="1:6" ht="14.4" thickBot="1" x14ac:dyDescent="0.3">
      <c r="A19" s="72" t="s">
        <v>87</v>
      </c>
      <c r="B19" s="73"/>
      <c r="C19" s="74"/>
      <c r="D19" s="42"/>
      <c r="E19" s="68"/>
      <c r="F19" s="65"/>
    </row>
    <row r="20" spans="1:6" ht="14.4" thickBot="1" x14ac:dyDescent="0.3">
      <c r="A20" s="75" t="s">
        <v>88</v>
      </c>
      <c r="B20" s="76"/>
      <c r="C20" s="77">
        <f>ROUND((((1+C12+C13)*(1+C14)*(1+C15))/(1-(C16+C17))-1),4)</f>
        <v>0.2631</v>
      </c>
      <c r="D20" s="81">
        <v>0.21429999999999999</v>
      </c>
      <c r="E20" s="82">
        <v>0.2717</v>
      </c>
      <c r="F20" s="83">
        <v>0.3362</v>
      </c>
    </row>
  </sheetData>
  <mergeCells count="3">
    <mergeCell ref="B16:B17"/>
    <mergeCell ref="D10:F10"/>
    <mergeCell ref="A8:F8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XFD1048576"/>
    </sheetView>
  </sheetViews>
  <sheetFormatPr defaultColWidth="9.109375" defaultRowHeight="19.5" customHeight="1" x14ac:dyDescent="0.25"/>
  <cols>
    <col min="1" max="1" width="24.5546875" style="1" customWidth="1"/>
    <col min="2" max="2" width="20.88671875" style="1" customWidth="1"/>
    <col min="3" max="16384" width="9.109375" style="1"/>
  </cols>
  <sheetData>
    <row r="1" spans="1:2" ht="19.5" customHeight="1" thickBot="1" x14ac:dyDescent="0.3">
      <c r="A1" s="325" t="s">
        <v>226</v>
      </c>
      <c r="B1" s="326"/>
    </row>
    <row r="2" spans="1:2" s="9" customFormat="1" ht="19.5" customHeight="1" x14ac:dyDescent="0.25">
      <c r="A2" s="88" t="s">
        <v>205</v>
      </c>
      <c r="B2" s="89" t="s">
        <v>278</v>
      </c>
    </row>
    <row r="3" spans="1:2" ht="19.5" customHeight="1" x14ac:dyDescent="0.25">
      <c r="A3" s="23">
        <v>1</v>
      </c>
      <c r="B3" s="22">
        <v>33.629999999999995</v>
      </c>
    </row>
    <row r="4" spans="1:2" ht="19.5" customHeight="1" x14ac:dyDescent="0.25">
      <c r="A4" s="23">
        <v>2</v>
      </c>
      <c r="B4" s="22">
        <v>43.13</v>
      </c>
    </row>
    <row r="5" spans="1:2" ht="19.5" customHeight="1" x14ac:dyDescent="0.25">
      <c r="A5" s="23">
        <v>3</v>
      </c>
      <c r="B5" s="22">
        <v>48.68</v>
      </c>
    </row>
    <row r="6" spans="1:2" ht="19.5" customHeight="1" x14ac:dyDescent="0.25">
      <c r="A6" s="23">
        <v>4</v>
      </c>
      <c r="B6" s="22">
        <v>52.62</v>
      </c>
    </row>
    <row r="7" spans="1:2" ht="19.5" customHeight="1" x14ac:dyDescent="0.25">
      <c r="A7" s="23">
        <v>5</v>
      </c>
      <c r="B7" s="22">
        <v>55.679999999999993</v>
      </c>
    </row>
    <row r="8" spans="1:2" ht="19.5" customHeight="1" x14ac:dyDescent="0.25">
      <c r="A8" s="23">
        <v>6</v>
      </c>
      <c r="B8" s="22">
        <v>58.18</v>
      </c>
    </row>
    <row r="9" spans="1:2" ht="19.5" customHeight="1" x14ac:dyDescent="0.25">
      <c r="A9" s="23">
        <v>7</v>
      </c>
      <c r="B9" s="22">
        <v>60.29</v>
      </c>
    </row>
    <row r="10" spans="1:2" ht="19.5" customHeight="1" x14ac:dyDescent="0.25">
      <c r="A10" s="23">
        <v>8</v>
      </c>
      <c r="B10" s="22">
        <v>62.12</v>
      </c>
    </row>
    <row r="11" spans="1:2" ht="19.5" customHeight="1" x14ac:dyDescent="0.25">
      <c r="A11" s="23">
        <v>9</v>
      </c>
      <c r="B11" s="22">
        <v>63.73</v>
      </c>
    </row>
    <row r="12" spans="1:2" ht="19.5" customHeight="1" x14ac:dyDescent="0.25">
      <c r="A12" s="23">
        <v>10</v>
      </c>
      <c r="B12" s="22">
        <v>65.180000000000007</v>
      </c>
    </row>
    <row r="13" spans="1:2" ht="19.5" customHeight="1" x14ac:dyDescent="0.25">
      <c r="A13" s="23">
        <v>11</v>
      </c>
      <c r="B13" s="22">
        <v>66.47999999999999</v>
      </c>
    </row>
    <row r="14" spans="1:2" ht="19.5" customHeight="1" x14ac:dyDescent="0.25">
      <c r="A14" s="23">
        <v>12</v>
      </c>
      <c r="B14" s="22">
        <v>67.67</v>
      </c>
    </row>
    <row r="15" spans="1:2" ht="19.5" customHeight="1" x14ac:dyDescent="0.25">
      <c r="A15" s="23">
        <v>13</v>
      </c>
      <c r="B15" s="22">
        <v>68.77</v>
      </c>
    </row>
    <row r="16" spans="1:2" ht="19.5" customHeight="1" x14ac:dyDescent="0.25">
      <c r="A16" s="23">
        <v>14</v>
      </c>
      <c r="B16" s="22">
        <v>69.789999999999992</v>
      </c>
    </row>
    <row r="17" spans="1:2" ht="19.5" customHeight="1" thickBot="1" x14ac:dyDescent="0.3">
      <c r="A17" s="24">
        <v>15</v>
      </c>
      <c r="B17" s="25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sqref="A1:XFD1048576"/>
    </sheetView>
  </sheetViews>
  <sheetFormatPr defaultColWidth="9.109375" defaultRowHeight="13.2" x14ac:dyDescent="0.25"/>
  <cols>
    <col min="1" max="1" width="70.44140625" style="1" customWidth="1"/>
    <col min="2" max="3" width="9.109375" style="1"/>
    <col min="4" max="4" width="12.88671875" style="1" bestFit="1" customWidth="1"/>
    <col min="5" max="16384" width="9.109375" style="1"/>
  </cols>
  <sheetData>
    <row r="1" spans="1:1" ht="17.399999999999999" x14ac:dyDescent="0.3">
      <c r="A1" s="87" t="s">
        <v>230</v>
      </c>
    </row>
    <row r="2" spans="1:1" x14ac:dyDescent="0.25">
      <c r="A2" s="84"/>
    </row>
    <row r="3" spans="1:1" x14ac:dyDescent="0.25">
      <c r="A3" s="84" t="s">
        <v>244</v>
      </c>
    </row>
    <row r="4" spans="1:1" x14ac:dyDescent="0.25">
      <c r="A4" s="84"/>
    </row>
    <row r="5" spans="1:1" x14ac:dyDescent="0.25">
      <c r="A5" s="84"/>
    </row>
    <row r="6" spans="1:1" x14ac:dyDescent="0.25">
      <c r="A6" s="84"/>
    </row>
    <row r="7" spans="1:1" x14ac:dyDescent="0.25">
      <c r="A7" s="84"/>
    </row>
    <row r="8" spans="1:1" x14ac:dyDescent="0.25">
      <c r="A8" s="84"/>
    </row>
    <row r="9" spans="1:1" x14ac:dyDescent="0.25">
      <c r="A9" s="84"/>
    </row>
    <row r="10" spans="1:1" x14ac:dyDescent="0.25">
      <c r="A10" s="84"/>
    </row>
    <row r="11" spans="1:1" x14ac:dyDescent="0.25">
      <c r="A11" s="84"/>
    </row>
    <row r="12" spans="1:1" ht="18.600000000000001" x14ac:dyDescent="0.4">
      <c r="A12" s="85" t="s">
        <v>227</v>
      </c>
    </row>
    <row r="13" spans="1:1" ht="15" x14ac:dyDescent="0.25">
      <c r="A13" s="85" t="s">
        <v>108</v>
      </c>
    </row>
    <row r="14" spans="1:1" ht="15" x14ac:dyDescent="0.25">
      <c r="A14" s="85" t="s">
        <v>113</v>
      </c>
    </row>
    <row r="15" spans="1:1" ht="18.600000000000001" x14ac:dyDescent="0.4">
      <c r="A15" s="85" t="s">
        <v>228</v>
      </c>
    </row>
    <row r="16" spans="1:1" ht="18.600000000000001" x14ac:dyDescent="0.4">
      <c r="A16" s="85" t="s">
        <v>229</v>
      </c>
    </row>
    <row r="17" spans="1:1" ht="15.6" thickBot="1" x14ac:dyDescent="0.3">
      <c r="A17" s="86" t="s">
        <v>109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"/>
  <sheetViews>
    <sheetView topLeftCell="A7" zoomScaleNormal="100" workbookViewId="0">
      <selection activeCell="A7" sqref="A1:XFD1048576"/>
    </sheetView>
  </sheetViews>
  <sheetFormatPr defaultColWidth="9.109375" defaultRowHeight="13.2" x14ac:dyDescent="0.25"/>
  <cols>
    <col min="1" max="1" width="58.33203125" style="90" customWidth="1"/>
    <col min="2" max="2" width="11.109375" style="90" bestFit="1" customWidth="1"/>
    <col min="3" max="3" width="11.33203125" style="90" bestFit="1" customWidth="1"/>
    <col min="4" max="16384" width="9.109375" style="90"/>
  </cols>
  <sheetData>
    <row r="1" spans="1:7" x14ac:dyDescent="0.25">
      <c r="A1" s="7" t="s">
        <v>203</v>
      </c>
    </row>
    <row r="2" spans="1:7" x14ac:dyDescent="0.25">
      <c r="A2" s="91" t="s">
        <v>253</v>
      </c>
    </row>
    <row r="3" spans="1:7" x14ac:dyDescent="0.25">
      <c r="A3" s="91" t="s">
        <v>279</v>
      </c>
    </row>
    <row r="4" spans="1:7" x14ac:dyDescent="0.25">
      <c r="A4" s="5" t="s">
        <v>277</v>
      </c>
    </row>
    <row r="5" spans="1:7" x14ac:dyDescent="0.25">
      <c r="A5" s="5"/>
    </row>
    <row r="6" spans="1:7" s="2" customFormat="1" ht="15.6" customHeight="1" x14ac:dyDescent="0.25">
      <c r="A6" s="111" t="s">
        <v>283</v>
      </c>
      <c r="B6" s="10"/>
      <c r="C6" s="10"/>
      <c r="D6" s="10"/>
      <c r="E6" s="10"/>
      <c r="F6" s="10"/>
      <c r="G6" s="4"/>
    </row>
    <row r="7" spans="1:7" s="2" customFormat="1" ht="16.5" customHeight="1" x14ac:dyDescent="0.25">
      <c r="A7" s="124" t="s">
        <v>292</v>
      </c>
      <c r="B7" s="3"/>
      <c r="C7" s="3"/>
      <c r="D7" s="4"/>
      <c r="E7" s="4"/>
      <c r="F7" s="4"/>
      <c r="G7" s="4"/>
    </row>
    <row r="8" spans="1:7" ht="13.8" thickBot="1" x14ac:dyDescent="0.3"/>
    <row r="9" spans="1:7" ht="17.399999999999999" x14ac:dyDescent="0.3">
      <c r="A9" s="327" t="s">
        <v>273</v>
      </c>
      <c r="B9" s="328"/>
      <c r="C9" s="329"/>
    </row>
    <row r="10" spans="1:7" s="92" customFormat="1" ht="17.399999999999999" x14ac:dyDescent="0.3">
      <c r="A10" s="107"/>
      <c r="B10" s="106"/>
      <c r="C10" s="108"/>
    </row>
    <row r="11" spans="1:7" s="9" customFormat="1" ht="13.8" x14ac:dyDescent="0.25">
      <c r="A11" s="93" t="s">
        <v>274</v>
      </c>
      <c r="B11" s="94" t="s">
        <v>254</v>
      </c>
      <c r="C11" s="95" t="s">
        <v>143</v>
      </c>
    </row>
    <row r="12" spans="1:7" ht="13.8" x14ac:dyDescent="0.25">
      <c r="A12" s="96" t="s">
        <v>262</v>
      </c>
      <c r="B12" s="97" t="s">
        <v>255</v>
      </c>
      <c r="C12" s="43">
        <v>2780</v>
      </c>
    </row>
    <row r="13" spans="1:7" ht="13.8" x14ac:dyDescent="0.25">
      <c r="A13" s="42" t="s">
        <v>263</v>
      </c>
      <c r="B13" s="98" t="s">
        <v>260</v>
      </c>
      <c r="C13" s="99">
        <v>0.4</v>
      </c>
    </row>
    <row r="14" spans="1:7" ht="13.8" x14ac:dyDescent="0.25">
      <c r="A14" s="42" t="s">
        <v>264</v>
      </c>
      <c r="B14" s="98" t="s">
        <v>261</v>
      </c>
      <c r="C14" s="100">
        <f>C12*C13/1000</f>
        <v>1.1120000000000001</v>
      </c>
    </row>
    <row r="15" spans="1:7" ht="13.8" x14ac:dyDescent="0.25">
      <c r="A15" s="42" t="s">
        <v>270</v>
      </c>
      <c r="B15" s="98" t="s">
        <v>256</v>
      </c>
      <c r="C15" s="101">
        <f>(C14*30)</f>
        <v>33.36</v>
      </c>
    </row>
    <row r="16" spans="1:7" ht="13.8" x14ac:dyDescent="0.25">
      <c r="A16" s="42" t="s">
        <v>266</v>
      </c>
      <c r="B16" s="98" t="s">
        <v>92</v>
      </c>
      <c r="C16" s="104">
        <v>6</v>
      </c>
    </row>
    <row r="17" spans="1:3" ht="13.8" x14ac:dyDescent="0.25">
      <c r="A17" s="42" t="s">
        <v>265</v>
      </c>
      <c r="B17" s="98" t="s">
        <v>261</v>
      </c>
      <c r="C17" s="100">
        <f>IFERROR(C14*7/C16,0)</f>
        <v>1.2973333333333334</v>
      </c>
    </row>
    <row r="18" spans="1:3" ht="13.8" x14ac:dyDescent="0.25">
      <c r="A18" s="96" t="s">
        <v>257</v>
      </c>
      <c r="B18" s="98" t="s">
        <v>258</v>
      </c>
      <c r="C18" s="65">
        <v>500</v>
      </c>
    </row>
    <row r="19" spans="1:3" ht="13.8" x14ac:dyDescent="0.25">
      <c r="A19" s="42" t="s">
        <v>271</v>
      </c>
      <c r="B19" s="98"/>
      <c r="C19" s="43">
        <v>1</v>
      </c>
    </row>
    <row r="20" spans="1:3" ht="13.8" x14ac:dyDescent="0.25">
      <c r="A20" s="96" t="s">
        <v>272</v>
      </c>
      <c r="B20" s="98" t="s">
        <v>259</v>
      </c>
      <c r="C20" s="43">
        <v>8</v>
      </c>
    </row>
    <row r="21" spans="1:3" ht="13.8" x14ac:dyDescent="0.25">
      <c r="A21" s="42" t="s">
        <v>267</v>
      </c>
      <c r="B21" s="98" t="s">
        <v>256</v>
      </c>
      <c r="C21" s="65">
        <f>IF(AND(C20&gt;=15,C19=1),5.8,C20/2)</f>
        <v>4</v>
      </c>
    </row>
    <row r="22" spans="1:3" ht="13.8" x14ac:dyDescent="0.25">
      <c r="A22" s="96" t="s">
        <v>268</v>
      </c>
      <c r="B22" s="98"/>
      <c r="C22" s="100">
        <f>IFERROR(C17/C21,0)</f>
        <v>0.32433333333333336</v>
      </c>
    </row>
    <row r="23" spans="1:3" ht="13.8" x14ac:dyDescent="0.25">
      <c r="A23" s="96" t="s">
        <v>275</v>
      </c>
      <c r="B23" s="98"/>
      <c r="C23" s="109">
        <v>1</v>
      </c>
    </row>
    <row r="24" spans="1:3" ht="14.4" thickBot="1" x14ac:dyDescent="0.3">
      <c r="A24" s="102" t="s">
        <v>269</v>
      </c>
      <c r="B24" s="103"/>
      <c r="C24" s="105">
        <f>IFERROR(C22/C23,0)</f>
        <v>0.32433333333333336</v>
      </c>
    </row>
  </sheetData>
  <mergeCells count="1">
    <mergeCell ref="A9:C9"/>
  </mergeCells>
  <conditionalFormatting sqref="C21">
    <cfRule type="expression" dxfId="0" priority="1">
      <formula>"SE(E(C20&gt;=15;C19=1))"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XFD1048576"/>
    </sheetView>
  </sheetViews>
  <sheetFormatPr defaultRowHeight="13.8" x14ac:dyDescent="0.25"/>
  <cols>
    <col min="1" max="1" width="29.5546875" style="13" bestFit="1" customWidth="1"/>
    <col min="2" max="2" width="17.21875" style="13" bestFit="1" customWidth="1"/>
    <col min="3" max="3" width="21.44140625" style="13" customWidth="1"/>
    <col min="4" max="4" width="17.6640625" style="13" customWidth="1"/>
    <col min="5" max="16384" width="8.88671875" style="13"/>
  </cols>
  <sheetData>
    <row r="1" spans="1:6" x14ac:dyDescent="0.25">
      <c r="A1" s="330" t="s">
        <v>314</v>
      </c>
      <c r="B1" s="330"/>
      <c r="C1" s="330"/>
      <c r="D1" s="330"/>
    </row>
    <row r="2" spans="1:6" x14ac:dyDescent="0.25">
      <c r="A2" s="331" t="s">
        <v>315</v>
      </c>
      <c r="B2" s="331"/>
      <c r="C2" s="331" t="s">
        <v>316</v>
      </c>
      <c r="D2" s="331"/>
    </row>
    <row r="3" spans="1:6" x14ac:dyDescent="0.25">
      <c r="A3" s="332" t="s">
        <v>317</v>
      </c>
      <c r="B3" s="332"/>
      <c r="C3" s="333">
        <v>10524.1</v>
      </c>
      <c r="D3" s="332"/>
    </row>
    <row r="4" spans="1:6" x14ac:dyDescent="0.25">
      <c r="A4" s="332" t="s">
        <v>318</v>
      </c>
      <c r="B4" s="332"/>
      <c r="C4" s="333">
        <v>4100.08</v>
      </c>
      <c r="D4" s="332"/>
    </row>
    <row r="5" spans="1:6" x14ac:dyDescent="0.25">
      <c r="A5" s="332" t="s">
        <v>319</v>
      </c>
      <c r="B5" s="332"/>
      <c r="C5" s="333">
        <v>3165</v>
      </c>
      <c r="D5" s="332"/>
    </row>
    <row r="6" spans="1:6" x14ac:dyDescent="0.25">
      <c r="A6" s="332" t="s">
        <v>320</v>
      </c>
      <c r="B6" s="332"/>
      <c r="C6" s="333">
        <v>4451</v>
      </c>
      <c r="D6" s="332"/>
    </row>
    <row r="7" spans="1:6" x14ac:dyDescent="0.25">
      <c r="A7" s="331" t="s">
        <v>329</v>
      </c>
      <c r="B7" s="331"/>
      <c r="C7" s="339">
        <v>22.24</v>
      </c>
      <c r="D7" s="339"/>
    </row>
    <row r="8" spans="1:6" x14ac:dyDescent="0.25">
      <c r="A8" s="331" t="s">
        <v>330</v>
      </c>
      <c r="B8" s="331"/>
      <c r="C8" s="339">
        <f>C7*6</f>
        <v>133.44</v>
      </c>
      <c r="D8" s="339"/>
    </row>
    <row r="9" spans="1:6" x14ac:dyDescent="0.25">
      <c r="A9" s="331" t="s">
        <v>331</v>
      </c>
      <c r="B9" s="331"/>
      <c r="C9" s="339">
        <f>C7*26</f>
        <v>578.24</v>
      </c>
      <c r="D9" s="339"/>
    </row>
    <row r="10" spans="1:6" x14ac:dyDescent="0.25">
      <c r="A10" s="335"/>
      <c r="B10" s="335"/>
      <c r="C10" s="335"/>
      <c r="D10" s="335"/>
    </row>
    <row r="11" spans="1:6" x14ac:dyDescent="0.25">
      <c r="A11" s="330" t="s">
        <v>321</v>
      </c>
      <c r="B11" s="330"/>
      <c r="C11" s="330"/>
      <c r="D11" s="330"/>
    </row>
    <row r="12" spans="1:6" ht="28.8" customHeight="1" x14ac:dyDescent="0.25">
      <c r="A12" s="285" t="s">
        <v>304</v>
      </c>
      <c r="B12" s="285" t="s">
        <v>305</v>
      </c>
      <c r="C12" s="286" t="s">
        <v>312</v>
      </c>
      <c r="D12" s="286" t="s">
        <v>313</v>
      </c>
    </row>
    <row r="13" spans="1:6" x14ac:dyDescent="0.25">
      <c r="A13" s="98" t="s">
        <v>306</v>
      </c>
      <c r="B13" s="68">
        <v>22.24</v>
      </c>
      <c r="C13" s="191">
        <v>62.4</v>
      </c>
      <c r="D13" s="68" t="s">
        <v>290</v>
      </c>
    </row>
    <row r="14" spans="1:6" x14ac:dyDescent="0.25">
      <c r="A14" s="98" t="s">
        <v>307</v>
      </c>
      <c r="B14" s="68">
        <v>22.24</v>
      </c>
      <c r="C14" s="68" t="s">
        <v>290</v>
      </c>
      <c r="D14" s="68">
        <v>28</v>
      </c>
    </row>
    <row r="15" spans="1:6" x14ac:dyDescent="0.25">
      <c r="A15" s="98" t="s">
        <v>308</v>
      </c>
      <c r="B15" s="68">
        <v>22.24</v>
      </c>
      <c r="C15" s="68">
        <v>62.4</v>
      </c>
      <c r="D15" s="68" t="s">
        <v>290</v>
      </c>
    </row>
    <row r="16" spans="1:6" x14ac:dyDescent="0.25">
      <c r="A16" s="98" t="s">
        <v>309</v>
      </c>
      <c r="B16" s="68">
        <v>22.24</v>
      </c>
      <c r="C16" s="68" t="s">
        <v>290</v>
      </c>
      <c r="D16" s="68">
        <v>28</v>
      </c>
      <c r="E16" s="334"/>
      <c r="F16" s="334"/>
    </row>
    <row r="17" spans="1:4" x14ac:dyDescent="0.25">
      <c r="A17" s="98" t="s">
        <v>310</v>
      </c>
      <c r="B17" s="68">
        <v>22.24</v>
      </c>
      <c r="C17" s="68">
        <v>62.4</v>
      </c>
      <c r="D17" s="68" t="s">
        <v>290</v>
      </c>
    </row>
    <row r="18" spans="1:4" x14ac:dyDescent="0.25">
      <c r="A18" s="98" t="s">
        <v>311</v>
      </c>
      <c r="B18" s="68">
        <v>22.24</v>
      </c>
      <c r="C18" s="68" t="s">
        <v>290</v>
      </c>
      <c r="D18" s="68">
        <v>28</v>
      </c>
    </row>
    <row r="20" spans="1:4" x14ac:dyDescent="0.25">
      <c r="A20" s="330" t="s">
        <v>322</v>
      </c>
      <c r="B20" s="330"/>
      <c r="C20" s="330"/>
      <c r="D20" s="330"/>
    </row>
    <row r="21" spans="1:4" ht="27.6" x14ac:dyDescent="0.25">
      <c r="A21" s="285"/>
      <c r="B21" s="285" t="s">
        <v>305</v>
      </c>
      <c r="C21" s="286" t="s">
        <v>323</v>
      </c>
      <c r="D21" s="286" t="s">
        <v>324</v>
      </c>
    </row>
    <row r="22" spans="1:4" x14ac:dyDescent="0.25">
      <c r="A22" s="98" t="s">
        <v>325</v>
      </c>
      <c r="B22" s="98">
        <f>C7*3</f>
        <v>66.72</v>
      </c>
      <c r="C22" s="98">
        <f>D14*3</f>
        <v>84</v>
      </c>
      <c r="D22" s="98">
        <f>B22+C22</f>
        <v>150.72</v>
      </c>
    </row>
    <row r="23" spans="1:4" x14ac:dyDescent="0.25">
      <c r="A23" s="98" t="s">
        <v>326</v>
      </c>
      <c r="B23" s="98">
        <f>C7*3</f>
        <v>66.72</v>
      </c>
      <c r="C23" s="98">
        <f>C17*3</f>
        <v>187.2</v>
      </c>
      <c r="D23" s="98">
        <f>B23+C23</f>
        <v>253.92</v>
      </c>
    </row>
    <row r="24" spans="1:4" x14ac:dyDescent="0.25">
      <c r="A24" s="340" t="s">
        <v>327</v>
      </c>
      <c r="B24" s="341"/>
      <c r="C24" s="342"/>
      <c r="D24" s="94">
        <f>D22+D23</f>
        <v>404.64</v>
      </c>
    </row>
    <row r="25" spans="1:4" x14ac:dyDescent="0.25">
      <c r="A25" s="336" t="s">
        <v>332</v>
      </c>
      <c r="B25" s="337"/>
      <c r="C25" s="338"/>
      <c r="D25" s="94">
        <v>4</v>
      </c>
    </row>
    <row r="26" spans="1:4" x14ac:dyDescent="0.25">
      <c r="A26" s="336" t="s">
        <v>328</v>
      </c>
      <c r="B26" s="337"/>
      <c r="C26" s="338"/>
      <c r="D26" s="287">
        <f>D24*D25</f>
        <v>1618.56</v>
      </c>
    </row>
  </sheetData>
  <mergeCells count="24">
    <mergeCell ref="A25:C25"/>
    <mergeCell ref="A26:C26"/>
    <mergeCell ref="A7:B7"/>
    <mergeCell ref="A8:B8"/>
    <mergeCell ref="A9:B9"/>
    <mergeCell ref="C7:D7"/>
    <mergeCell ref="C8:D8"/>
    <mergeCell ref="C9:D9"/>
    <mergeCell ref="A24:C24"/>
    <mergeCell ref="C5:D5"/>
    <mergeCell ref="C6:D6"/>
    <mergeCell ref="E16:F16"/>
    <mergeCell ref="A11:D11"/>
    <mergeCell ref="A20:D20"/>
    <mergeCell ref="A10:D10"/>
    <mergeCell ref="A5:B5"/>
    <mergeCell ref="A6:B6"/>
    <mergeCell ref="A1:D1"/>
    <mergeCell ref="A2:B2"/>
    <mergeCell ref="C2:D2"/>
    <mergeCell ref="A3:B3"/>
    <mergeCell ref="A4:B4"/>
    <mergeCell ref="C3:D3"/>
    <mergeCell ref="C4:D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D9" sqref="D9"/>
    </sheetView>
  </sheetViews>
  <sheetFormatPr defaultColWidth="18.5546875" defaultRowHeight="13.8" x14ac:dyDescent="0.25"/>
  <cols>
    <col min="1" max="1" width="21.5546875" style="13" customWidth="1"/>
    <col min="2" max="2" width="18.77734375" style="13" customWidth="1"/>
    <col min="3" max="16384" width="18.5546875" style="13"/>
  </cols>
  <sheetData>
    <row r="1" spans="1:3" ht="25.8" customHeight="1" x14ac:dyDescent="0.25">
      <c r="A1" s="344" t="s">
        <v>292</v>
      </c>
      <c r="B1" s="344"/>
      <c r="C1" s="344"/>
    </row>
    <row r="2" spans="1:3" x14ac:dyDescent="0.25">
      <c r="A2" s="343" t="s">
        <v>334</v>
      </c>
      <c r="B2" s="343"/>
      <c r="C2" s="343"/>
    </row>
    <row r="3" spans="1:3" x14ac:dyDescent="0.25">
      <c r="A3" s="98" t="s">
        <v>335</v>
      </c>
      <c r="B3" s="98" t="s">
        <v>336</v>
      </c>
      <c r="C3" s="98" t="s">
        <v>337</v>
      </c>
    </row>
    <row r="4" spans="1:3" x14ac:dyDescent="0.25">
      <c r="A4" s="98">
        <v>1.1100000000000001</v>
      </c>
      <c r="B4" s="98">
        <v>7.77</v>
      </c>
      <c r="C4" s="98">
        <v>33.299999999999997</v>
      </c>
    </row>
    <row r="5" spans="1:3" x14ac:dyDescent="0.25">
      <c r="A5" s="345"/>
      <c r="B5" s="346"/>
      <c r="C5" s="347"/>
    </row>
    <row r="6" spans="1:3" x14ac:dyDescent="0.25">
      <c r="A6" s="348" t="s">
        <v>339</v>
      </c>
      <c r="B6" s="349"/>
      <c r="C6" s="350"/>
    </row>
    <row r="7" spans="1:3" x14ac:dyDescent="0.25">
      <c r="A7" s="98" t="s">
        <v>335</v>
      </c>
      <c r="B7" s="98" t="s">
        <v>336</v>
      </c>
      <c r="C7" s="98" t="s">
        <v>337</v>
      </c>
    </row>
    <row r="8" spans="1:3" x14ac:dyDescent="0.25">
      <c r="A8" s="98">
        <f>(A4)*(25%)</f>
        <v>0.27750000000000002</v>
      </c>
      <c r="B8" s="98">
        <f>A8*7</f>
        <v>1.9425000000000001</v>
      </c>
      <c r="C8" s="98">
        <f>A8*30</f>
        <v>8.3250000000000011</v>
      </c>
    </row>
    <row r="9" spans="1:3" x14ac:dyDescent="0.25">
      <c r="A9" s="345"/>
      <c r="B9" s="346"/>
      <c r="C9" s="347"/>
    </row>
    <row r="10" spans="1:3" x14ac:dyDescent="0.25">
      <c r="A10" s="348" t="s">
        <v>338</v>
      </c>
      <c r="B10" s="349"/>
      <c r="C10" s="350"/>
    </row>
    <row r="11" spans="1:3" x14ac:dyDescent="0.25">
      <c r="A11" s="98" t="s">
        <v>335</v>
      </c>
      <c r="B11" s="98" t="s">
        <v>336</v>
      </c>
      <c r="C11" s="98" t="s">
        <v>337</v>
      </c>
    </row>
    <row r="12" spans="1:3" x14ac:dyDescent="0.25">
      <c r="A12" s="98">
        <f>(A4)*(75%)</f>
        <v>0.83250000000000002</v>
      </c>
      <c r="B12" s="98">
        <f>A12*7</f>
        <v>5.8275000000000006</v>
      </c>
      <c r="C12" s="98">
        <f>A12*30</f>
        <v>24.975000000000001</v>
      </c>
    </row>
    <row r="13" spans="1:3" x14ac:dyDescent="0.25">
      <c r="A13" s="345"/>
      <c r="B13" s="346"/>
      <c r="C13" s="347"/>
    </row>
  </sheetData>
  <mergeCells count="7">
    <mergeCell ref="A2:C2"/>
    <mergeCell ref="A1:C1"/>
    <mergeCell ref="A5:C5"/>
    <mergeCell ref="A9:C9"/>
    <mergeCell ref="A13:C13"/>
    <mergeCell ref="A10:C10"/>
    <mergeCell ref="A6:C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1. Coleta Domiciliar Seletiva</vt:lpstr>
      <vt:lpstr>2.Encargos Sociais</vt:lpstr>
      <vt:lpstr>3.CAGED</vt:lpstr>
      <vt:lpstr>4.BDI</vt:lpstr>
      <vt:lpstr>5. Depreciação</vt:lpstr>
      <vt:lpstr>6.Remuneração de capital</vt:lpstr>
      <vt:lpstr>7. Dimensionamento</vt:lpstr>
      <vt:lpstr>8. Roteiros</vt:lpstr>
      <vt:lpstr>9. Ton Quantitativo</vt:lpstr>
      <vt:lpstr>AbaDeprec</vt:lpstr>
      <vt:lpstr>AbaRemun</vt:lpstr>
      <vt:lpstr>'1. Coleta Domiciliar Seletiva'!Area_de_impressao</vt:lpstr>
      <vt:lpstr>'2.Encargos Sociais'!Area_de_impressao</vt:lpstr>
      <vt:lpstr>'1. Coleta Domiciliar Seletiva'!Titulos_de_impressao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Elisa</cp:lastModifiedBy>
  <cp:lastPrinted>2023-11-27T16:52:37Z</cp:lastPrinted>
  <dcterms:created xsi:type="dcterms:W3CDTF">2000-12-13T10:02:50Z</dcterms:created>
  <dcterms:modified xsi:type="dcterms:W3CDTF">2023-11-28T17:29:19Z</dcterms:modified>
</cp:coreProperties>
</file>